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9540" windowHeight="5130" tabRatio="671" firstSheet="1" activeTab="1"/>
  </bookViews>
  <sheets>
    <sheet name="Customize Your Loan Manager" sheetId="1" state="hidden" r:id="rId1"/>
    <sheet name="Loan Data" sheetId="2" r:id="rId2"/>
    <sheet name="Loan Amortization Table" sheetId="3" r:id="rId3"/>
    <sheet name="Summary Graph" sheetId="4" r:id="rId4"/>
    <sheet name="Lock" sheetId="5" state="veryHidden" r:id="rId5"/>
    <sheet name="ChgLoan" sheetId="6" state="veryHidden" r:id="rId6"/>
    <sheet name="Intl Data Table" sheetId="7" state="veryHidden" r:id="rId7"/>
  </sheets>
  <definedNames>
    <definedName name="__IntlFixup" hidden="1">TRUE</definedName>
    <definedName name="__IntlFixupTable" hidden="1">'Intl Data Table'!$A$3:$AB$10</definedName>
    <definedName name="back6">'Loan Data'!$J$18</definedName>
    <definedName name="back7">'Loan Data'!$J$21</definedName>
    <definedName name="CDB">'Loan Data'!$E$38</definedName>
    <definedName name="CS">'Loan Data'!$E$39</definedName>
    <definedName name="data1">'Loan Data'!$F$13</definedName>
    <definedName name="data2">'Loan Data'!$F$16</definedName>
    <definedName name="data3">'Loan Data'!$I$16</definedName>
    <definedName name="data4">'Loan Data'!$F$17</definedName>
    <definedName name="data5">'Loan Data'!$I$17</definedName>
    <definedName name="data6">'Loan Data'!$I$18</definedName>
    <definedName name="data7">'Loan Data'!$I$21</definedName>
    <definedName name="DATABASE">'Loan Amortization Table'!$E$16:$X$63</definedName>
    <definedName name="dflt1">'Customize Your Loan Manager'!$G$21</definedName>
    <definedName name="display_area_1">'Customize Your Loan Manager'!$C$3:$J$34</definedName>
    <definedName name="display_area_2">'Loan Data'!$C$3:$L$32</definedName>
    <definedName name="display_area_3">'Loan Amortization Table'!$B$3:$P$63</definedName>
    <definedName name="display_area_4" localSheetId="3">'Summary Graph'!$C$3:$O$38</definedName>
    <definedName name="display_area_4">#REF!</definedName>
    <definedName name="DSP">'Loan Data'!$K$13</definedName>
    <definedName name="DSPIMO">'Loan Data'!#REF!</definedName>
    <definedName name="DSPMO">'Loan Data'!$K$14</definedName>
    <definedName name="DSPTLMO">'Loan Data'!$K$15</definedName>
    <definedName name="DTS">'Loan Amortization Table'!$F$16:$F$63</definedName>
    <definedName name="Entered_Pmt">'Loan Data'!$I$21</definedName>
    <definedName name="GoAssetChart">[0]!GoAssetChart</definedName>
    <definedName name="GoBack">[0]!GoBack</definedName>
    <definedName name="GoBalanceSheet">[0]!GoBalanceSheet</definedName>
    <definedName name="GoCashFlow">[0]!GoCashFlow</definedName>
    <definedName name="GoData">[0]!GoData</definedName>
    <definedName name="GoIncomeChart">[0]!GoIncomeChart</definedName>
    <definedName name="Header_Area">'Loan Amortization Table'!$B$3:$P$15</definedName>
    <definedName name="INT">'Loan Data'!$I$23</definedName>
    <definedName name="LoanTable">'Loan Amortization Table'!$E$16:$M$25</definedName>
    <definedName name="LOC">'Loan Data'!$E$35</definedName>
    <definedName name="LTR">'Customize Your Loan Manager'!$G$26</definedName>
    <definedName name="NOMO">'Loan Data'!$F$20</definedName>
    <definedName name="NS">'Loan Data'!$E$37</definedName>
    <definedName name="NUMCHECK">AND(ISNUMBER('Loan Data'!$F$16),ISNUMBER('Loan Data'!$I$16),ISNUMBER('Loan Data'!$I$17),ISNUMBER('Loan Data'!$I$18))</definedName>
    <definedName name="NUMENTRIES">'Loan Amortization Table'!#REF!</definedName>
    <definedName name="PERYR">'Loan Data'!$I$18</definedName>
    <definedName name="pmnt">'Loan Data'!$I$20</definedName>
    <definedName name="Principal">'Loan Amortization Table'!$M$16:$M$63</definedName>
    <definedName name="_xlnm.Print_Area" localSheetId="0">'Customize Your Loan Manager'!$C$3:$J$34</definedName>
    <definedName name="_xlnm.Print_Area" localSheetId="2">'Loan Amortization Table'!$C$16:$O$63</definedName>
    <definedName name="_xlnm.Print_Area" localSheetId="1">'Loan Data'!$C$3:$L$32</definedName>
    <definedName name="_xlnm.Print_Area" localSheetId="3">'Summary Graph'!$C$3:$O$38</definedName>
    <definedName name="_xlnm.Print_Titles" localSheetId="2">'Loan Amortization Table'!$3:$15</definedName>
    <definedName name="RefreshArea">'Loan Amortization Table'!$G$17:$L$63</definedName>
    <definedName name="SRS1">'Loan Amortization Table'!$K$16:$K$63</definedName>
    <definedName name="SRS2">'Loan Amortization Table'!$L$16:$L$63</definedName>
    <definedName name="SS">'Loan Data'!$E$36</definedName>
    <definedName name="tbl1">'Loan Amortization Table'!$E$16</definedName>
    <definedName name="TOT">'Loan Data'!$F$23</definedName>
    <definedName name="vital1">'Customize Your Loan Manager'!$F$12</definedName>
    <definedName name="vital2">'Customize Your Loan Manager'!$F$13</definedName>
    <definedName name="vital4">'Customize Your Loan Manager'!$F$14</definedName>
    <definedName name="vital5">'Customize Your Loan Manager'!$F$15</definedName>
    <definedName name="vital6">'Customize Your Loan Manager'!$F$16</definedName>
    <definedName name="vital8">'Customize Your Loan Manager'!$H$12</definedName>
    <definedName name="vital9">'Customize Your Loan Manager'!$H$13</definedName>
    <definedName name="warn1">'Loan Data'!$E$24</definedName>
    <definedName name="warn2">'Loan Data'!$H$24</definedName>
  </definedNames>
  <calcPr fullCalcOnLoad="1"/>
</workbook>
</file>

<file path=xl/comments1.xml><?xml version="1.0" encoding="utf-8"?>
<comments xmlns="http://schemas.openxmlformats.org/spreadsheetml/2006/main">
  <authors>
    <author>A satisfied Microsoft Office user</author>
  </authors>
  <commentList>
    <comment ref="F3" authorId="0">
      <text>
        <r>
          <rPr>
            <sz val="8"/>
            <rFont val="Tahoma"/>
            <family val="0"/>
          </rPr>
          <t>CUSTOMIZING YOUR LOAN MANAGER
Use this sheet to enter all of your personal information to be used by subsequent worksheets in this template. The template will format this information for you and place it on the other Loan Manager sheets.  You can lock this sheet when you are finished with your customizations and save the template for future use.</t>
        </r>
      </text>
    </comment>
    <comment ref="F7" authorId="0">
      <text>
        <r>
          <rPr>
            <sz val="8"/>
            <rFont val="Tahoma"/>
            <family val="0"/>
          </rPr>
          <t>LOCK/UNLOCK THIS SHEET
Click this button to prevent accidental changes to your customized information. It will change to an Unlock This Sheet button, which you can click should you wish to change this information at a later time.  When you lock the sheet, you can simply lock the sheet or you can choose to save your own version of this template with your customized information.</t>
        </r>
      </text>
    </comment>
    <comment ref="H8" authorId="0">
      <text>
        <r>
          <rPr>
            <sz val="8"/>
            <rFont val="Tahoma"/>
            <family val="0"/>
          </rPr>
          <t>TIPS
Tips are a useful feature in Microsoft Excel. ToolTips tell you about toolbars, and CellTips, a new feature, tell you about actual cells on your sheet.  You can even create your own personalized CellTips with the Document a Cell button on your Toolbar.</t>
        </r>
      </text>
    </comment>
    <comment ref="E10" authorId="0">
      <text>
        <r>
          <rPr>
            <sz val="8"/>
            <rFont val="Tahoma"/>
            <family val="0"/>
          </rPr>
          <t>ENTERING PERSONAL INFORMATION
Entering information in these cells will update the Loan Manager lettertype boilerplates.  Note that you are not required to fill in all the cells. Any cells that you leave blank will simply not show up on the lettertype.</t>
        </r>
      </text>
    </comment>
    <comment ref="E19" authorId="0">
      <text>
        <r>
          <rPr>
            <sz val="8"/>
            <rFont val="Tahoma"/>
            <family val="0"/>
          </rPr>
          <t xml:space="preserve">ENTERING DEFAULT LOAN MANAGER INFORMATION
Enter the number of periods that you would like the loan table to show. </t>
        </r>
      </text>
    </comment>
    <comment ref="E24" authorId="0">
      <text>
        <r>
          <rPr>
            <sz val="8"/>
            <rFont val="Tahoma"/>
            <family val="0"/>
          </rPr>
          <t>ENTERING FORMATTED INFORMATION
Use this area to customize the look of your Loan Manager. Click on Select Logo to choose a graphic for your logo (if desired). Click on Change Plate Font to change the font in the lettertype boilerplate. The boilerplate changes will be automatically adjusted on all appropriate sheets. Sample logos can be found in the clipart directory of your Microsoft Office installation.</t>
        </r>
      </text>
    </comment>
  </commentList>
</comments>
</file>

<file path=xl/comments2.xml><?xml version="1.0" encoding="utf-8"?>
<comments xmlns="http://schemas.openxmlformats.org/spreadsheetml/2006/main">
  <authors>
    <author>A satisfied Microsoft Office user</author>
  </authors>
  <commentList>
    <comment ref="C4" authorId="0">
      <text>
        <r>
          <rPr>
            <sz val="8"/>
            <rFont val="Tahoma"/>
            <family val="0"/>
          </rPr>
          <t xml:space="preserve">If you have not entered a logo on the Customize Your Loan Manager sheet, this logo box will not appear on your printed loan worksheets. </t>
        </r>
      </text>
    </comment>
    <comment ref="I4" authorId="0">
      <text>
        <r>
          <rPr>
            <sz val="8"/>
            <rFont val="Tahoma"/>
            <family val="0"/>
          </rPr>
          <t xml:space="preserve">Click this button to go back to the Customize Your Loan Manager sheet and change your customized information. </t>
        </r>
      </text>
    </comment>
    <comment ref="J8" authorId="0">
      <text>
        <r>
          <rPr>
            <sz val="8"/>
            <rFont val="Tahoma"/>
            <family val="0"/>
          </rPr>
          <t xml:space="preserve">This sheet serves to collect all the basic information on your loan. </t>
        </r>
      </text>
    </comment>
    <comment ref="E13" authorId="0">
      <text>
        <r>
          <rPr>
            <sz val="8"/>
            <rFont val="Tahoma"/>
            <family val="0"/>
          </rPr>
          <t xml:space="preserve">Enter the name of your lender here. </t>
        </r>
      </text>
    </comment>
    <comment ref="E16" authorId="0">
      <text>
        <r>
          <rPr>
            <sz val="8"/>
            <rFont val="Tahoma"/>
            <family val="0"/>
          </rPr>
          <t xml:space="preserve">Enter the total principal borrowed here. </t>
        </r>
      </text>
    </comment>
    <comment ref="H16" authorId="0">
      <text>
        <r>
          <rPr>
            <sz val="8"/>
            <rFont val="Tahoma"/>
            <family val="0"/>
          </rPr>
          <t xml:space="preserve">Enter the yearly interest rate on your loan here. </t>
        </r>
      </text>
    </comment>
    <comment ref="E17" authorId="0">
      <text>
        <r>
          <rPr>
            <sz val="8"/>
            <rFont val="Tahoma"/>
            <family val="0"/>
          </rPr>
          <t xml:space="preserve">Enter the date (mm/dd/yy format) on which you received or plan to receive the loan here. </t>
        </r>
      </text>
    </comment>
    <comment ref="H17" authorId="0">
      <text>
        <r>
          <rPr>
            <sz val="8"/>
            <rFont val="Tahoma"/>
            <family val="0"/>
          </rPr>
          <t xml:space="preserve">Enter the length of the loan into the 'Length of Loan (Years)' cell. For example, an 18 month loan would be entered as '1.5' years. Please note that there are a limited number of loan periods. </t>
        </r>
      </text>
    </comment>
    <comment ref="H18" authorId="0">
      <text>
        <r>
          <rPr>
            <sz val="8"/>
            <rFont val="Tahoma"/>
            <family val="0"/>
          </rPr>
          <t xml:space="preserve">Enter the number of payments per year. </t>
        </r>
      </text>
    </comment>
    <comment ref="E20" authorId="0">
      <text>
        <r>
          <rPr>
            <sz val="8"/>
            <rFont val="Tahoma"/>
            <family val="0"/>
          </rPr>
          <t xml:space="preserve">This displays the number of payments you will make over the course of the loan. </t>
        </r>
      </text>
    </comment>
    <comment ref="F20" authorId="0">
      <text>
        <r>
          <rPr>
            <sz val="8"/>
            <rFont val="Tahoma"/>
            <family val="0"/>
          </rPr>
          <t xml:space="preserve">The shaded cells contain formulas and are automatically calculated by Microsoft Excel. DO NOT enter any information in them. </t>
        </r>
      </text>
    </comment>
    <comment ref="H20" authorId="0">
      <text>
        <r>
          <rPr>
            <sz val="8"/>
            <rFont val="Tahoma"/>
            <family val="0"/>
          </rPr>
          <t xml:space="preserve">This displays your payment amount for each period. </t>
        </r>
      </text>
    </comment>
    <comment ref="H21" authorId="0">
      <text>
        <r>
          <rPr>
            <sz val="8"/>
            <rFont val="Tahoma"/>
            <family val="0"/>
          </rPr>
          <t xml:space="preserve">The table uses the Calculated Payment unless you enter a different payment amount here. </t>
        </r>
      </text>
    </comment>
    <comment ref="E23" authorId="0">
      <text>
        <r>
          <rPr>
            <sz val="8"/>
            <rFont val="Tahoma"/>
            <family val="0"/>
          </rPr>
          <t xml:space="preserve">This shows the total amount you will pay over the course of the loan. </t>
        </r>
      </text>
    </comment>
    <comment ref="H23" authorId="0">
      <text>
        <r>
          <rPr>
            <sz val="8"/>
            <rFont val="Tahoma"/>
            <family val="0"/>
          </rPr>
          <t xml:space="preserve">This shows the total interest that you will pay over the course of the loan. </t>
        </r>
      </text>
    </comment>
    <comment ref="F29" authorId="0">
      <text>
        <r>
          <rPr>
            <sz val="8"/>
            <rFont val="Tahoma"/>
            <family val="0"/>
          </rPr>
          <t xml:space="preserve">Type any fine print (disclaimers, etc.) here. If you do not wish to include any fine print information on your printed loan worksheets, click on the box and delete the text which says 'Insert Fine Print Here'. </t>
        </r>
      </text>
    </comment>
  </commentList>
</comments>
</file>

<file path=xl/comments3.xml><?xml version="1.0" encoding="utf-8"?>
<comments xmlns="http://schemas.openxmlformats.org/spreadsheetml/2006/main">
  <authors>
    <author>A satisfied Microsoft Office user</author>
  </authors>
  <commentList>
    <comment ref="F7" authorId="0">
      <text>
        <r>
          <rPr>
            <sz val="8"/>
            <rFont val="Tahoma"/>
            <family val="0"/>
          </rPr>
          <t>This sheet calculates the periodic payment breakdown for each specific category listed. The table is based on the information entered on the Loan Data sheet.  Entries made in the far right column (Additional Principal) will show you how a larger payment will affect the interest and principal amounts from that period until the end of the loan period.</t>
        </r>
      </text>
    </comment>
    <comment ref="K7" authorId="0">
      <text>
        <r>
          <rPr>
            <sz val="8"/>
            <rFont val="Tahoma"/>
            <family val="0"/>
          </rPr>
          <t>REFINANCE/PREPAY
Click this button if you want to refinance or prepay a loan. People use these two methods to decrease their total debt. You 'refinance' when you obtain another loan, with a lower interest rate, to repay the first loan, essentially  decreasing the interest rate on the current loan. When you 'prepay' this type of loan, you pay additional principal, thereby decreasing the total amount you will need to pay for the loan.</t>
        </r>
      </text>
    </comment>
    <comment ref="H14" authorId="0">
      <text>
        <r>
          <rPr>
            <sz val="8"/>
            <rFont val="Tahoma"/>
            <family val="0"/>
          </rPr>
          <t>The scheduled balance is calculated at the beginning of the loan. It is the balance remaining on the loan at each period if all the regularly scheduled payments are made. This figure should match the actual balance to within a few pennies unless an  additional principal payment is made.</t>
        </r>
      </text>
    </comment>
    <comment ref="I14" authorId="0">
      <text>
        <r>
          <rPr>
            <sz val="8"/>
            <rFont val="Tahoma"/>
            <family val="0"/>
          </rPr>
          <t xml:space="preserve">The actual balance takes into account any additional principal payments made during the course of the loan. This figure should match the scheduled balance to within a few pennies unless an additional principal payment was made. </t>
        </r>
      </text>
    </comment>
    <comment ref="M14" authorId="0">
      <text>
        <r>
          <rPr>
            <sz val="8"/>
            <rFont val="Tahoma"/>
            <family val="0"/>
          </rPr>
          <t>Enter any additional payment on the loan here. When you make additional payments on this type of loan, you are paying off the principal sooner, so you lessen the total amount you will pay for the entire loan (because you will pay less interest). NOTE:  Payments must be entered as negative numbers.</t>
        </r>
      </text>
    </comment>
  </commentList>
</comments>
</file>

<file path=xl/comments4.xml><?xml version="1.0" encoding="utf-8"?>
<comments xmlns="http://schemas.openxmlformats.org/spreadsheetml/2006/main">
  <authors>
    <author>A satisfied Microsoft Office user</author>
  </authors>
  <commentList>
    <comment ref="C4" authorId="0">
      <text>
        <r>
          <rPr>
            <sz val="8"/>
            <rFont val="Tahoma"/>
            <family val="0"/>
          </rPr>
          <t xml:space="preserve">If you have not entered a logo on the Customize Your Loan Manager sheet, this logo box will not appear on your printed loan worksheets. </t>
        </r>
      </text>
    </comment>
    <comment ref="K4" authorId="0">
      <text>
        <r>
          <rPr>
            <sz val="8"/>
            <rFont val="Tahoma"/>
            <family val="0"/>
          </rPr>
          <t xml:space="preserve">Click this button to go back to the Customize Your Loan Manager sheet and change your customized information. </t>
        </r>
      </text>
    </comment>
    <comment ref="N8" authorId="0">
      <text>
        <r>
          <rPr>
            <sz val="8"/>
            <rFont val="Tahoma"/>
            <family val="0"/>
          </rPr>
          <t xml:space="preserve">The Summary Graph displays your principal and interest payments over the life of your loan. </t>
        </r>
      </text>
    </comment>
    <comment ref="D10" authorId="0">
      <text>
        <r>
          <rPr>
            <sz val="8"/>
            <rFont val="Tahoma"/>
            <family val="0"/>
          </rPr>
          <t xml:space="preserve">Use this button to change some aspects of the appearance of your graph. </t>
        </r>
      </text>
    </comment>
    <comment ref="H35" authorId="0">
      <text>
        <r>
          <rPr>
            <sz val="8"/>
            <rFont val="Tahoma"/>
            <family val="0"/>
          </rPr>
          <t xml:space="preserve">Type any fine print (disclaimers, etc.) here. If you do not wish to include any fine print information on your printed loan worksheets, click on the box and delete the text which says 'Insert Fine Print Here'. </t>
        </r>
      </text>
    </comment>
  </commentList>
</comments>
</file>

<file path=xl/sharedStrings.xml><?xml version="1.0" encoding="utf-8"?>
<sst xmlns="http://schemas.openxmlformats.org/spreadsheetml/2006/main" count="189" uniqueCount="100">
  <si>
    <t>Hover Your Pointer</t>
  </si>
  <si>
    <t>HERE for a Useful Tip!</t>
  </si>
  <si>
    <t>Type Personal Information Here...</t>
  </si>
  <si>
    <t xml:space="preserve">Family Name  </t>
  </si>
  <si>
    <t>FAMILY NAME</t>
  </si>
  <si>
    <t xml:space="preserve">Phone Number  </t>
  </si>
  <si>
    <t>Phone Number</t>
  </si>
  <si>
    <t xml:space="preserve">Address  </t>
  </si>
  <si>
    <t>Family Address</t>
  </si>
  <si>
    <t xml:space="preserve">Fax Number  </t>
  </si>
  <si>
    <t>Fax Number</t>
  </si>
  <si>
    <t xml:space="preserve">City  </t>
  </si>
  <si>
    <t>City</t>
  </si>
  <si>
    <t xml:space="preserve">State  </t>
  </si>
  <si>
    <t>State</t>
  </si>
  <si>
    <t xml:space="preserve">ZIP Code  </t>
  </si>
  <si>
    <t>ZIP Code</t>
  </si>
  <si>
    <t>Specify Default Loan Information Here...</t>
  </si>
  <si>
    <t xml:space="preserve">Enter the number of periods the table should contain:  </t>
  </si>
  <si>
    <t xml:space="preserve">  periods (Maximum of 720)</t>
  </si>
  <si>
    <t>Formatted Information</t>
  </si>
  <si>
    <t>Lender Name</t>
  </si>
  <si>
    <t/>
  </si>
  <si>
    <t>Basic Loan Information</t>
  </si>
  <si>
    <t>Amount</t>
  </si>
  <si>
    <t xml:space="preserve">Annual Interest Rate   </t>
  </si>
  <si>
    <t>Beginning of Loan</t>
  </si>
  <si>
    <t>Length of Loan, Years</t>
  </si>
  <si>
    <t>Payments Per Year</t>
  </si>
  <si>
    <t>Payment Information</t>
  </si>
  <si>
    <t>Total Payments</t>
  </si>
  <si>
    <t>Calculated Payment</t>
  </si>
  <si>
    <t>Entered Payment</t>
  </si>
  <si>
    <t>Summary Information</t>
  </si>
  <si>
    <t>Total Paid</t>
  </si>
  <si>
    <t>Interest Paid</t>
  </si>
  <si>
    <t>Loan Data</t>
  </si>
  <si>
    <t>What is the Loan Amortization Table Sheet?</t>
  </si>
  <si>
    <t>Pmnt
#</t>
  </si>
  <si>
    <t>Start of Period</t>
  </si>
  <si>
    <t>Annual Interest Rate</t>
  </si>
  <si>
    <t>Scheduled Balance</t>
  </si>
  <si>
    <t>Actual Balance</t>
  </si>
  <si>
    <t>Scheduled Payment</t>
  </si>
  <si>
    <t>Interest Portion</t>
  </si>
  <si>
    <t>Principal Portion</t>
  </si>
  <si>
    <t>Additional Principal</t>
  </si>
  <si>
    <t>US</t>
  </si>
  <si>
    <t>UK</t>
  </si>
  <si>
    <t>Canada</t>
  </si>
  <si>
    <t>Australia</t>
  </si>
  <si>
    <t>New Zealand</t>
  </si>
  <si>
    <t>Ireland</t>
  </si>
  <si>
    <t>Arabic Countries</t>
  </si>
  <si>
    <t>Austria</t>
  </si>
  <si>
    <t>China</t>
  </si>
  <si>
    <t>Denmark</t>
  </si>
  <si>
    <t>France</t>
  </si>
  <si>
    <t>Germany</t>
  </si>
  <si>
    <t>Israel</t>
  </si>
  <si>
    <t>Italy</t>
  </si>
  <si>
    <t>Japan</t>
  </si>
  <si>
    <t>Korea</t>
  </si>
  <si>
    <t>Luxembourg</t>
  </si>
  <si>
    <t>Netherlands</t>
  </si>
  <si>
    <t>Norway</t>
  </si>
  <si>
    <t>South Africa</t>
  </si>
  <si>
    <t>Spain</t>
  </si>
  <si>
    <t>Sweden</t>
  </si>
  <si>
    <t>Switzerland</t>
  </si>
  <si>
    <t>Taiwan</t>
  </si>
  <si>
    <t>Venezuela</t>
  </si>
  <si>
    <t>Sheet Name</t>
  </si>
  <si>
    <t>Cell Address</t>
  </si>
  <si>
    <t>Action Code</t>
  </si>
  <si>
    <t>F16</t>
  </si>
  <si>
    <t>$#,##0.00_);("$"#,##0.00)</t>
  </si>
  <si>
    <t>£#,##0.00_);("£"#,##0.00)</t>
  </si>
  <si>
    <t>IR£#,##0.00_);("IR£"#,##0.00)</t>
  </si>
  <si>
    <t>#,##0.00_);(#,##0.00)</t>
  </si>
  <si>
    <t>ÖS #.##0,00_);("ÖS "#.##0,00)</t>
  </si>
  <si>
    <t>kr #.##0,00_);("kr "#.##0,00)</t>
  </si>
  <si>
    <t>#.##0,00 "F"_);(#.##0,00 "F")</t>
  </si>
  <si>
    <t>#.##0,00 "DM"_);(#.##0,00 "DM")</t>
  </si>
  <si>
    <t>#,##0.00_D_M_);(#,##0.00_D_M)</t>
  </si>
  <si>
    <t>L. #.##0,00_);("L. "#.##0,00)</t>
  </si>
  <si>
    <t>¥#,##0.00_);("¥"#,##0.00)</t>
  </si>
  <si>
    <t>F #.##0,00_);("F "#.##0,00)</t>
  </si>
  <si>
    <t>kr # ##0,00_);("kr "# ##0,00)</t>
  </si>
  <si>
    <t>R #,##0.00_);("R "#,##0.00)</t>
  </si>
  <si>
    <t>#.##0,00 "Pts"_);(#.##0,00 "Pts")</t>
  </si>
  <si>
    <t># ##0,00 "kr"_);(# ##0,00 "kr")</t>
  </si>
  <si>
    <t>SFr. #'##0.00_);("SFr. "#'##0.00)</t>
  </si>
  <si>
    <t>Bs #.##0,00_);("Bs "#.##0,00)</t>
  </si>
  <si>
    <t>I20:I21</t>
  </si>
  <si>
    <t>I23</t>
  </si>
  <si>
    <t>F23</t>
  </si>
  <si>
    <t>A1</t>
  </si>
  <si>
    <t>Loan Amortization Table</t>
  </si>
  <si>
    <t>Summary Graph</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</si>
</sst>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mm/dd/yy_)"/>
    <numFmt numFmtId="166" formatCode="0_)"/>
    <numFmt numFmtId="167" formatCode=";;;"/>
    <numFmt numFmtId="168" formatCode="mm/yy"/>
    <numFmt numFmtId="169" formatCode="_-* #,##0.00\ &quot;DM&quot;_-;\-* #,##0.00\ &quot;DM&quot;_-;_-* &quot;-&quot;??\ &quot;DM&quot;_-;_-@_-"/>
    <numFmt numFmtId="170" formatCode="_-&quot;£&quot;* #,##0_-;\-&quot;£&quot;* #,##0_-;_-&quot;£&quot;* &quot;-&quot;_-;_-@_-"/>
    <numFmt numFmtId="171" formatCode="_-* #,##0_-;\-* #,##0_-;_-* &quot;-&quot;_-;_-@_-"/>
    <numFmt numFmtId="172" formatCode="_-&quot;£&quot;* #,##0.00_-;\-&quot;£&quot;* #,##0.00_-;_-&quot;£&quot;* &quot;-&quot;??_-;_-@_-"/>
    <numFmt numFmtId="173" formatCode="_-* #,##0.00_-;\-* #,##0.00_-;_-* &quot;-&quot;??_-;_-@_-"/>
  </numFmts>
  <fonts count="51">
    <font>
      <sz val="10"/>
      <name val="Arial"/>
      <family val="2"/>
    </font>
    <font>
      <b/>
      <sz val="10"/>
      <name val="Arial"/>
      <family val="0"/>
    </font>
    <font>
      <i/>
      <sz val="10"/>
      <name val="Arial"/>
      <family val="0"/>
    </font>
    <font>
      <b/>
      <i/>
      <sz val="10"/>
      <name val="Arial"/>
      <family val="0"/>
    </font>
    <font>
      <sz val="10"/>
      <name val="Arial MT"/>
      <family val="0"/>
    </font>
    <font>
      <sz val="8"/>
      <name val="Arial"/>
      <family val="2"/>
    </font>
    <font>
      <b/>
      <sz val="10"/>
      <color indexed="10"/>
      <name val="Arial"/>
      <family val="2"/>
    </font>
    <font>
      <sz val="10"/>
      <color indexed="9"/>
      <name val="Arial"/>
      <family val="2"/>
    </font>
    <font>
      <sz val="10"/>
      <color indexed="10"/>
      <name val="Arial"/>
      <family val="2"/>
    </font>
    <font>
      <sz val="8"/>
      <name val="Tahoma"/>
      <family val="2"/>
    </font>
    <font>
      <sz val="8"/>
      <color indexed="8"/>
      <name val="Arial"/>
      <family val="0"/>
    </font>
    <font>
      <sz val="7.35"/>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i/>
      <sz val="18"/>
      <color indexed="8"/>
      <name val="Arial"/>
      <family val="0"/>
    </font>
    <font>
      <sz val="20"/>
      <color indexed="8"/>
      <name val="Arial"/>
      <family val="0"/>
    </font>
    <font>
      <sz val="10"/>
      <color indexed="8"/>
      <name val="Arial"/>
      <family val="0"/>
    </font>
    <font>
      <i/>
      <sz val="10"/>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indexed="58"/>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22"/>
      </left>
      <right>
        <color indexed="63"/>
      </right>
      <top style="thick">
        <color indexed="22"/>
      </top>
      <bottom>
        <color indexed="63"/>
      </bottom>
    </border>
    <border>
      <left>
        <color indexed="63"/>
      </left>
      <right>
        <color indexed="63"/>
      </right>
      <top style="thick">
        <color indexed="22"/>
      </top>
      <bottom>
        <color indexed="63"/>
      </bottom>
    </border>
    <border>
      <left>
        <color indexed="63"/>
      </left>
      <right style="thick">
        <color indexed="22"/>
      </right>
      <top style="thick">
        <color indexed="22"/>
      </top>
      <bottom>
        <color indexed="63"/>
      </bottom>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style="thick">
        <color indexed="22"/>
      </left>
      <right>
        <color indexed="63"/>
      </right>
      <top>
        <color indexed="63"/>
      </top>
      <bottom style="thick">
        <color indexed="22"/>
      </bottom>
    </border>
    <border>
      <left>
        <color indexed="63"/>
      </left>
      <right>
        <color indexed="63"/>
      </right>
      <top>
        <color indexed="63"/>
      </top>
      <bottom style="thick">
        <color indexed="22"/>
      </bottom>
    </border>
    <border>
      <left>
        <color indexed="63"/>
      </left>
      <right style="thick">
        <color indexed="22"/>
      </right>
      <top>
        <color indexed="63"/>
      </top>
      <bottom style="thick">
        <color indexed="22"/>
      </bottom>
    </border>
    <border>
      <left>
        <color indexed="63"/>
      </left>
      <right>
        <color indexed="63"/>
      </right>
      <top style="thick">
        <color indexed="17"/>
      </top>
      <bottom style="thin">
        <color indexed="58"/>
      </bottom>
    </border>
    <border>
      <left style="medium">
        <color indexed="17"/>
      </left>
      <right>
        <color indexed="63"/>
      </right>
      <top style="medium">
        <color indexed="17"/>
      </top>
      <bottom>
        <color indexed="63"/>
      </bottom>
    </border>
    <border>
      <left>
        <color indexed="63"/>
      </left>
      <right>
        <color indexed="63"/>
      </right>
      <top style="medium">
        <color indexed="17"/>
      </top>
      <bottom>
        <color indexed="63"/>
      </bottom>
    </border>
    <border>
      <left>
        <color indexed="63"/>
      </left>
      <right style="medium">
        <color indexed="17"/>
      </right>
      <top style="medium">
        <color indexed="17"/>
      </top>
      <bottom>
        <color indexed="63"/>
      </bottom>
    </border>
    <border>
      <left style="medium">
        <color indexed="17"/>
      </left>
      <right>
        <color indexed="63"/>
      </right>
      <top>
        <color indexed="63"/>
      </top>
      <bottom>
        <color indexed="63"/>
      </bottom>
    </border>
    <border>
      <left>
        <color indexed="63"/>
      </left>
      <right style="medium">
        <color indexed="17"/>
      </right>
      <top>
        <color indexed="63"/>
      </top>
      <bottom>
        <color indexed="63"/>
      </bottom>
    </border>
    <border>
      <left>
        <color indexed="63"/>
      </left>
      <right>
        <color indexed="63"/>
      </right>
      <top>
        <color indexed="63"/>
      </top>
      <bottom style="medium">
        <color indexed="17"/>
      </bottom>
    </border>
    <border>
      <left>
        <color indexed="63"/>
      </left>
      <right style="medium">
        <color indexed="17"/>
      </right>
      <top>
        <color indexed="63"/>
      </top>
      <bottom style="medium">
        <color indexed="17"/>
      </bottom>
    </border>
    <border>
      <left style="hair"/>
      <right style="hair"/>
      <top style="hair"/>
      <bottom style="hair"/>
    </border>
    <border>
      <left>
        <color indexed="63"/>
      </left>
      <right>
        <color indexed="63"/>
      </right>
      <top>
        <color indexed="63"/>
      </top>
      <bottom style="hair"/>
    </border>
    <border>
      <left style="hair"/>
      <right>
        <color indexed="63"/>
      </right>
      <top style="hair"/>
      <bottom style="hair"/>
    </border>
    <border>
      <left>
        <color indexed="63"/>
      </left>
      <right>
        <color indexed="63"/>
      </right>
      <top style="hair"/>
      <bottom style="hair"/>
    </border>
    <border>
      <left style="thick">
        <color indexed="22"/>
      </left>
      <right>
        <color indexed="63"/>
      </right>
      <top style="thick">
        <color indexed="17"/>
      </top>
      <bottom style="thin">
        <color indexed="58"/>
      </bottom>
    </border>
    <border>
      <left>
        <color indexed="63"/>
      </left>
      <right style="thick">
        <color indexed="22"/>
      </right>
      <top style="thick">
        <color indexed="17"/>
      </top>
      <bottom style="thin">
        <color indexed="58"/>
      </bottom>
    </border>
    <border>
      <left style="medium">
        <color indexed="17"/>
      </left>
      <right style="medium">
        <color indexed="17"/>
      </right>
      <top style="medium">
        <color indexed="17"/>
      </top>
      <bottom style="thin">
        <color indexed="17"/>
      </bottom>
    </border>
    <border>
      <left style="medium">
        <color indexed="17"/>
      </left>
      <right style="medium">
        <color indexed="17"/>
      </right>
      <top>
        <color indexed="63"/>
      </top>
      <bottom style="thin">
        <color indexed="17"/>
      </bottom>
    </border>
    <border>
      <left style="medium">
        <color indexed="17"/>
      </left>
      <right style="medium">
        <color indexed="17"/>
      </right>
      <top>
        <color indexed="63"/>
      </top>
      <bottom style="medium">
        <color indexed="17"/>
      </bottom>
    </border>
    <border>
      <left style="medium">
        <color indexed="17"/>
      </left>
      <right>
        <color indexed="63"/>
      </right>
      <top>
        <color indexed="63"/>
      </top>
      <bottom style="medium">
        <color indexed="17"/>
      </bottom>
    </border>
    <border>
      <left>
        <color indexed="63"/>
      </left>
      <right style="hair"/>
      <top style="hair"/>
      <bottom style="hair"/>
    </border>
    <border>
      <left style="medium">
        <color indexed="17"/>
      </left>
      <right style="medium">
        <color indexed="17"/>
      </right>
      <top style="medium">
        <color indexed="17"/>
      </top>
      <bottom style="medium">
        <color indexed="17"/>
      </bottom>
    </border>
  </borders>
  <cellStyleXfs count="68">
    <xf numFmtId="0" fontId="0" fillId="2"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5" fillId="27" borderId="0" applyNumberFormat="0" applyBorder="0" applyAlignment="0" applyProtection="0"/>
    <xf numFmtId="0" fontId="36" fillId="28" borderId="1" applyNumberFormat="0" applyAlignment="0" applyProtection="0"/>
    <xf numFmtId="0" fontId="37"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3" fontId="0" fillId="0" borderId="0" applyFon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1" borderId="1" applyNumberFormat="0" applyAlignment="0" applyProtection="0"/>
    <xf numFmtId="0" fontId="44" fillId="0" borderId="6" applyNumberFormat="0" applyFill="0" applyAlignment="0" applyProtection="0"/>
    <xf numFmtId="0" fontId="45" fillId="32" borderId="0" applyNumberFormat="0" applyBorder="0" applyAlignment="0" applyProtection="0"/>
    <xf numFmtId="0" fontId="0" fillId="2" borderId="0">
      <alignment/>
      <protection/>
    </xf>
    <xf numFmtId="0" fontId="0" fillId="2" borderId="0">
      <alignment/>
      <protection/>
    </xf>
    <xf numFmtId="0" fontId="0" fillId="33" borderId="7" applyNumberFormat="0" applyFont="0" applyAlignment="0" applyProtection="0"/>
    <xf numFmtId="0" fontId="46" fillId="28" borderId="8" applyNumberFormat="0" applyAlignment="0" applyProtection="0"/>
    <xf numFmtId="9" fontId="0" fillId="0" borderId="0" applyFont="0" applyFill="0" applyBorder="0" applyAlignment="0" applyProtection="0"/>
    <xf numFmtId="0" fontId="0" fillId="2" borderId="0">
      <alignment/>
      <protection/>
    </xf>
    <xf numFmtId="0" fontId="47" fillId="0" borderId="0" applyNumberFormat="0" applyFill="0" applyBorder="0" applyAlignment="0" applyProtection="0"/>
    <xf numFmtId="0" fontId="48" fillId="0" borderId="9" applyNumberFormat="0" applyFill="0" applyAlignment="0" applyProtection="0"/>
    <xf numFmtId="170" fontId="0" fillId="0" borderId="0" applyFont="0" applyFill="0" applyBorder="0" applyAlignment="0" applyProtection="0"/>
    <xf numFmtId="172" fontId="0" fillId="0" borderId="0" applyFont="0" applyFill="0" applyBorder="0" applyAlignment="0" applyProtection="0"/>
    <xf numFmtId="0" fontId="49" fillId="0" borderId="0" applyNumberFormat="0" applyFill="0" applyBorder="0" applyAlignment="0" applyProtection="0"/>
  </cellStyleXfs>
  <cellXfs count="128">
    <xf numFmtId="0" fontId="0" fillId="2" borderId="0" xfId="0" applyAlignment="1">
      <alignment/>
    </xf>
    <xf numFmtId="0" fontId="0" fillId="34" borderId="0" xfId="0" applyFont="1" applyFill="1" applyBorder="1" applyAlignment="1">
      <alignment horizontal="center" wrapText="1"/>
    </xf>
    <xf numFmtId="0" fontId="0" fillId="34" borderId="0" xfId="0" applyNumberFormat="1" applyFont="1" applyFill="1" applyBorder="1" applyAlignment="1">
      <alignment/>
    </xf>
    <xf numFmtId="14" fontId="0" fillId="35" borderId="0" xfId="0" applyNumberFormat="1" applyFont="1" applyFill="1" applyBorder="1" applyAlignment="1">
      <alignment/>
    </xf>
    <xf numFmtId="0" fontId="0" fillId="35" borderId="0" xfId="0" applyFont="1" applyFill="1" applyBorder="1" applyAlignment="1">
      <alignment horizontal="centerContinuous"/>
    </xf>
    <xf numFmtId="0" fontId="0" fillId="2" borderId="0" xfId="0" applyAlignment="1">
      <alignment horizontal="left"/>
    </xf>
    <xf numFmtId="0" fontId="4" fillId="2" borderId="0" xfId="0" applyFont="1" applyAlignment="1">
      <alignment/>
    </xf>
    <xf numFmtId="0" fontId="0" fillId="2" borderId="0" xfId="0" applyFont="1" applyFill="1" applyAlignment="1">
      <alignment/>
    </xf>
    <xf numFmtId="0" fontId="0" fillId="2" borderId="0" xfId="0" applyFont="1" applyFill="1" applyAlignment="1">
      <alignment horizontal="left"/>
    </xf>
    <xf numFmtId="166" fontId="0" fillId="2" borderId="0" xfId="0" applyNumberFormat="1" applyFont="1" applyFill="1" applyAlignment="1" applyProtection="1">
      <alignment/>
      <protection/>
    </xf>
    <xf numFmtId="166" fontId="0" fillId="2" borderId="0" xfId="0" applyNumberFormat="1" applyFont="1" applyFill="1" applyAlignment="1" applyProtection="1">
      <alignment horizontal="left"/>
      <protection/>
    </xf>
    <xf numFmtId="165" fontId="0" fillId="2" borderId="0" xfId="0" applyNumberFormat="1" applyFont="1" applyFill="1" applyAlignment="1" applyProtection="1">
      <alignment horizontal="left"/>
      <protection/>
    </xf>
    <xf numFmtId="0" fontId="0" fillId="34" borderId="10" xfId="0" applyFont="1" applyFill="1" applyBorder="1" applyAlignment="1">
      <alignment/>
    </xf>
    <xf numFmtId="0" fontId="0" fillId="34" borderId="11" xfId="0" applyFont="1" applyFill="1" applyBorder="1" applyAlignment="1">
      <alignment/>
    </xf>
    <xf numFmtId="0" fontId="0" fillId="34" borderId="12" xfId="0" applyFont="1" applyFill="1" applyBorder="1" applyAlignment="1">
      <alignment/>
    </xf>
    <xf numFmtId="0" fontId="0" fillId="34" borderId="13" xfId="0" applyFont="1" applyFill="1" applyBorder="1" applyAlignment="1">
      <alignment/>
    </xf>
    <xf numFmtId="0" fontId="0" fillId="34" borderId="0" xfId="0" applyFont="1" applyFill="1" applyBorder="1" applyAlignment="1">
      <alignment/>
    </xf>
    <xf numFmtId="0" fontId="0" fillId="34" borderId="14" xfId="0" applyFont="1" applyFill="1" applyBorder="1" applyAlignment="1">
      <alignment/>
    </xf>
    <xf numFmtId="0" fontId="0" fillId="34" borderId="15" xfId="0" applyFont="1" applyFill="1" applyBorder="1" applyAlignment="1">
      <alignment/>
    </xf>
    <xf numFmtId="0" fontId="0" fillId="34" borderId="16" xfId="0" applyFont="1" applyFill="1" applyBorder="1" applyAlignment="1">
      <alignment/>
    </xf>
    <xf numFmtId="0" fontId="0" fillId="34" borderId="17" xfId="0" applyFont="1" applyFill="1" applyBorder="1" applyAlignment="1">
      <alignment/>
    </xf>
    <xf numFmtId="0" fontId="0" fillId="34" borderId="0" xfId="0" applyFont="1" applyFill="1" applyBorder="1" applyAlignment="1">
      <alignment horizontal="left"/>
    </xf>
    <xf numFmtId="7" fontId="0" fillId="34" borderId="0" xfId="0" applyNumberFormat="1" applyFont="1" applyFill="1" applyBorder="1" applyAlignment="1" applyProtection="1">
      <alignment/>
      <protection/>
    </xf>
    <xf numFmtId="7" fontId="0" fillId="34" borderId="14" xfId="0" applyNumberFormat="1" applyFont="1" applyFill="1" applyBorder="1" applyAlignment="1" applyProtection="1">
      <alignment/>
      <protection/>
    </xf>
    <xf numFmtId="0" fontId="0" fillId="34" borderId="11" xfId="0" applyFont="1" applyFill="1" applyBorder="1" applyAlignment="1" applyProtection="1">
      <alignment/>
      <protection locked="0"/>
    </xf>
    <xf numFmtId="0" fontId="0" fillId="34" borderId="0" xfId="0" applyFont="1" applyFill="1" applyBorder="1" applyAlignment="1" applyProtection="1">
      <alignment/>
      <protection locked="0"/>
    </xf>
    <xf numFmtId="0" fontId="0" fillId="34" borderId="18" xfId="0" applyFont="1" applyFill="1" applyBorder="1" applyAlignment="1">
      <alignment/>
    </xf>
    <xf numFmtId="0" fontId="0" fillId="34" borderId="13" xfId="0" applyFill="1" applyBorder="1" applyAlignment="1">
      <alignment/>
    </xf>
    <xf numFmtId="0" fontId="0" fillId="34" borderId="11" xfId="0" applyFont="1" applyFill="1" applyBorder="1" applyAlignment="1">
      <alignment horizontal="left"/>
    </xf>
    <xf numFmtId="0" fontId="0" fillId="34" borderId="11" xfId="0" applyFont="1" applyFill="1" applyBorder="1" applyAlignment="1" applyProtection="1">
      <alignment horizontal="right"/>
      <protection locked="0"/>
    </xf>
    <xf numFmtId="0" fontId="0" fillId="34" borderId="0" xfId="0" applyFill="1" applyBorder="1" applyAlignment="1">
      <alignment/>
    </xf>
    <xf numFmtId="0" fontId="0" fillId="34" borderId="0" xfId="0" applyFont="1" applyFill="1" applyBorder="1" applyAlignment="1" applyProtection="1">
      <alignment horizontal="right"/>
      <protection locked="0"/>
    </xf>
    <xf numFmtId="0" fontId="0" fillId="34" borderId="19" xfId="0" applyFont="1" applyFill="1" applyBorder="1" applyAlignment="1">
      <alignment/>
    </xf>
    <xf numFmtId="0" fontId="0" fillId="34" borderId="20" xfId="0" applyFont="1" applyFill="1" applyBorder="1" applyAlignment="1" applyProtection="1">
      <alignment/>
      <protection locked="0"/>
    </xf>
    <xf numFmtId="0" fontId="0" fillId="34" borderId="20" xfId="0" applyFont="1" applyFill="1" applyBorder="1" applyAlignment="1">
      <alignment/>
    </xf>
    <xf numFmtId="0" fontId="0" fillId="34" borderId="20" xfId="0" applyFont="1" applyFill="1" applyBorder="1" applyAlignment="1">
      <alignment horizontal="left"/>
    </xf>
    <xf numFmtId="0" fontId="0" fillId="34" borderId="20" xfId="0" applyFont="1" applyFill="1" applyBorder="1" applyAlignment="1" applyProtection="1">
      <alignment horizontal="right"/>
      <protection locked="0"/>
    </xf>
    <xf numFmtId="0" fontId="0" fillId="34" borderId="21" xfId="0" applyFont="1" applyFill="1" applyBorder="1" applyAlignment="1">
      <alignment/>
    </xf>
    <xf numFmtId="0" fontId="0" fillId="34" borderId="22" xfId="0" applyFont="1" applyFill="1" applyBorder="1" applyAlignment="1">
      <alignment/>
    </xf>
    <xf numFmtId="0" fontId="0" fillId="34" borderId="23" xfId="0" applyFont="1" applyFill="1" applyBorder="1" applyAlignment="1">
      <alignment/>
    </xf>
    <xf numFmtId="0" fontId="0" fillId="34" borderId="22" xfId="0" applyFill="1" applyBorder="1" applyAlignment="1">
      <alignment/>
    </xf>
    <xf numFmtId="7" fontId="0" fillId="34" borderId="23" xfId="0" applyNumberFormat="1" applyFont="1" applyFill="1" applyBorder="1" applyAlignment="1" applyProtection="1">
      <alignment/>
      <protection/>
    </xf>
    <xf numFmtId="0" fontId="0" fillId="34" borderId="24" xfId="0" applyFont="1" applyFill="1" applyBorder="1" applyAlignment="1">
      <alignment/>
    </xf>
    <xf numFmtId="0" fontId="0" fillId="34" borderId="25" xfId="0" applyFont="1" applyFill="1" applyBorder="1" applyAlignment="1">
      <alignment/>
    </xf>
    <xf numFmtId="0" fontId="0" fillId="34" borderId="0" xfId="0" applyFill="1" applyAlignment="1">
      <alignment/>
    </xf>
    <xf numFmtId="0" fontId="0" fillId="34" borderId="0" xfId="0" applyFill="1" applyBorder="1" applyAlignment="1">
      <alignment horizontal="right"/>
    </xf>
    <xf numFmtId="0" fontId="1" fillId="34" borderId="0" xfId="0" applyFont="1" applyFill="1" applyBorder="1" applyAlignment="1">
      <alignment horizontal="left"/>
    </xf>
    <xf numFmtId="0" fontId="0" fillId="2" borderId="0" xfId="0" applyNumberFormat="1" applyFont="1" applyFill="1" applyBorder="1" applyAlignment="1">
      <alignment/>
    </xf>
    <xf numFmtId="0" fontId="0" fillId="2" borderId="0" xfId="0" applyNumberFormat="1" applyFont="1" applyFill="1" applyBorder="1" applyAlignment="1" applyProtection="1">
      <alignment/>
      <protection/>
    </xf>
    <xf numFmtId="0" fontId="0" fillId="2" borderId="0" xfId="0" applyFont="1" applyFill="1" applyBorder="1" applyAlignment="1">
      <alignment/>
    </xf>
    <xf numFmtId="0" fontId="0" fillId="34" borderId="18" xfId="0" applyNumberFormat="1" applyFont="1" applyFill="1" applyBorder="1" applyAlignment="1">
      <alignment/>
    </xf>
    <xf numFmtId="0" fontId="5" fillId="34" borderId="0" xfId="0" applyNumberFormat="1" applyFont="1" applyFill="1" applyBorder="1" applyAlignment="1">
      <alignment horizontal="center"/>
    </xf>
    <xf numFmtId="0" fontId="0" fillId="34" borderId="20" xfId="0" applyFill="1" applyBorder="1" applyAlignment="1">
      <alignment/>
    </xf>
    <xf numFmtId="0" fontId="0" fillId="34" borderId="23" xfId="0" applyFont="1" applyFill="1" applyBorder="1" applyAlignment="1">
      <alignment horizontal="center" wrapText="1"/>
    </xf>
    <xf numFmtId="0" fontId="0" fillId="34" borderId="22" xfId="0" applyFont="1" applyFill="1" applyBorder="1" applyAlignment="1">
      <alignment horizontal="centerContinuous" wrapText="1"/>
    </xf>
    <xf numFmtId="0" fontId="6" fillId="34" borderId="0" xfId="0" applyFont="1" applyFill="1" applyBorder="1" applyAlignment="1">
      <alignment horizontal="left"/>
    </xf>
    <xf numFmtId="0" fontId="6" fillId="34" borderId="0" xfId="0" applyFont="1" applyFill="1" applyAlignment="1">
      <alignment/>
    </xf>
    <xf numFmtId="0" fontId="0" fillId="34" borderId="0" xfId="0" applyFont="1" applyFill="1" applyAlignment="1">
      <alignment/>
    </xf>
    <xf numFmtId="0" fontId="0" fillId="34" borderId="26" xfId="0" applyFill="1" applyBorder="1" applyAlignment="1" quotePrefix="1">
      <alignment horizontal="left"/>
    </xf>
    <xf numFmtId="0" fontId="0" fillId="34" borderId="26" xfId="0" applyFont="1" applyFill="1" applyBorder="1" applyAlignment="1">
      <alignment horizontal="left"/>
    </xf>
    <xf numFmtId="0" fontId="0" fillId="34" borderId="26" xfId="0" applyFill="1" applyBorder="1" applyAlignment="1">
      <alignment horizontal="left"/>
    </xf>
    <xf numFmtId="0" fontId="0" fillId="34" borderId="27" xfId="0" applyFill="1" applyBorder="1" applyAlignment="1" quotePrefix="1">
      <alignment horizontal="right" wrapText="1"/>
    </xf>
    <xf numFmtId="0" fontId="0" fillId="34" borderId="27" xfId="0" applyFill="1" applyBorder="1" applyAlignment="1">
      <alignment horizontal="right" wrapText="1"/>
    </xf>
    <xf numFmtId="166" fontId="0" fillId="35" borderId="26" xfId="0" applyNumberFormat="1" applyFont="1" applyFill="1" applyBorder="1" applyAlignment="1" applyProtection="1">
      <alignment/>
      <protection/>
    </xf>
    <xf numFmtId="10" fontId="0" fillId="35" borderId="26" xfId="0" applyNumberFormat="1" applyFont="1" applyFill="1" applyBorder="1" applyAlignment="1" applyProtection="1">
      <alignment/>
      <protection/>
    </xf>
    <xf numFmtId="49" fontId="0" fillId="34" borderId="28" xfId="0" applyNumberFormat="1" applyFill="1" applyBorder="1" applyAlignment="1" applyProtection="1">
      <alignment/>
      <protection locked="0"/>
    </xf>
    <xf numFmtId="49" fontId="0" fillId="34" borderId="29" xfId="0" applyNumberFormat="1" applyFont="1" applyFill="1" applyBorder="1" applyAlignment="1">
      <alignment/>
    </xf>
    <xf numFmtId="164" fontId="0" fillId="34" borderId="26" xfId="0" applyNumberFormat="1" applyFill="1" applyBorder="1" applyAlignment="1" applyProtection="1">
      <alignment/>
      <protection locked="0"/>
    </xf>
    <xf numFmtId="43" fontId="0" fillId="35" borderId="26" xfId="0" applyNumberFormat="1" applyFont="1" applyFill="1" applyBorder="1" applyAlignment="1" applyProtection="1">
      <alignment/>
      <protection/>
    </xf>
    <xf numFmtId="43" fontId="0" fillId="34" borderId="26" xfId="0" applyNumberFormat="1" applyFont="1" applyFill="1" applyBorder="1" applyAlignment="1" applyProtection="1">
      <alignment/>
      <protection/>
    </xf>
    <xf numFmtId="167" fontId="0" fillId="2" borderId="0" xfId="0" applyNumberFormat="1" applyAlignment="1" applyProtection="1">
      <alignment/>
      <protection locked="0"/>
    </xf>
    <xf numFmtId="10" fontId="0" fillId="34" borderId="26" xfId="0" applyNumberFormat="1" applyFill="1" applyBorder="1" applyAlignment="1" applyProtection="1">
      <alignment/>
      <protection locked="0"/>
    </xf>
    <xf numFmtId="167" fontId="0" fillId="34" borderId="23" xfId="0" applyNumberFormat="1" applyFont="1" applyFill="1" applyBorder="1" applyAlignment="1">
      <alignment/>
    </xf>
    <xf numFmtId="167" fontId="0" fillId="34" borderId="23" xfId="0" applyNumberFormat="1" applyFont="1" applyFill="1" applyBorder="1" applyAlignment="1" applyProtection="1">
      <alignment/>
      <protection locked="0"/>
    </xf>
    <xf numFmtId="0" fontId="0" fillId="34" borderId="0" xfId="0" applyNumberFormat="1" applyFont="1" applyFill="1" applyBorder="1" applyAlignment="1" applyProtection="1">
      <alignment/>
      <protection/>
    </xf>
    <xf numFmtId="14" fontId="0" fillId="34" borderId="26" xfId="0" applyNumberFormat="1" applyFill="1" applyBorder="1" applyAlignment="1" applyProtection="1">
      <alignment/>
      <protection locked="0"/>
    </xf>
    <xf numFmtId="0" fontId="0" fillId="34" borderId="10" xfId="0" applyFont="1" applyFill="1" applyBorder="1" applyAlignment="1" applyProtection="1">
      <alignment/>
      <protection/>
    </xf>
    <xf numFmtId="0" fontId="0" fillId="34" borderId="11" xfId="0" applyFont="1" applyFill="1" applyBorder="1" applyAlignment="1" applyProtection="1">
      <alignment/>
      <protection/>
    </xf>
    <xf numFmtId="0" fontId="0" fillId="34" borderId="12" xfId="0" applyFont="1" applyFill="1" applyBorder="1" applyAlignment="1" applyProtection="1">
      <alignment/>
      <protection/>
    </xf>
    <xf numFmtId="0" fontId="0" fillId="34" borderId="13" xfId="0" applyFont="1" applyFill="1" applyBorder="1" applyAlignment="1" applyProtection="1">
      <alignment/>
      <protection/>
    </xf>
    <xf numFmtId="0" fontId="0" fillId="34" borderId="0" xfId="0" applyFont="1" applyFill="1" applyBorder="1" applyAlignment="1" applyProtection="1">
      <alignment/>
      <protection/>
    </xf>
    <xf numFmtId="0" fontId="0" fillId="34" borderId="14" xfId="0" applyFont="1" applyFill="1" applyBorder="1" applyAlignment="1" applyProtection="1">
      <alignment/>
      <protection/>
    </xf>
    <xf numFmtId="0" fontId="0" fillId="34" borderId="30" xfId="0" applyFont="1" applyFill="1" applyBorder="1" applyAlignment="1" applyProtection="1">
      <alignment/>
      <protection/>
    </xf>
    <xf numFmtId="0" fontId="0" fillId="34" borderId="18" xfId="0" applyFont="1" applyFill="1" applyBorder="1" applyAlignment="1" applyProtection="1">
      <alignment/>
      <protection/>
    </xf>
    <xf numFmtId="0" fontId="0" fillId="34" borderId="31" xfId="0" applyFont="1" applyFill="1" applyBorder="1" applyAlignment="1" applyProtection="1">
      <alignment/>
      <protection/>
    </xf>
    <xf numFmtId="0" fontId="0" fillId="34" borderId="13" xfId="0" applyFill="1" applyBorder="1" applyAlignment="1" applyProtection="1">
      <alignment/>
      <protection/>
    </xf>
    <xf numFmtId="0" fontId="0" fillId="34" borderId="0" xfId="0" applyFill="1" applyBorder="1" applyAlignment="1" applyProtection="1">
      <alignment/>
      <protection/>
    </xf>
    <xf numFmtId="0" fontId="0" fillId="34" borderId="14" xfId="0" applyFill="1" applyBorder="1" applyAlignment="1" applyProtection="1">
      <alignment/>
      <protection/>
    </xf>
    <xf numFmtId="0" fontId="5" fillId="34" borderId="0" xfId="0" applyFont="1" applyFill="1" applyBorder="1" applyAlignment="1" applyProtection="1">
      <alignment horizontal="center"/>
      <protection/>
    </xf>
    <xf numFmtId="0" fontId="1" fillId="34" borderId="0" xfId="0" applyFont="1" applyFill="1" applyBorder="1" applyAlignment="1" applyProtection="1">
      <alignment/>
      <protection/>
    </xf>
    <xf numFmtId="0" fontId="0" fillId="36" borderId="19" xfId="0" applyFill="1" applyBorder="1" applyAlignment="1" applyProtection="1">
      <alignment/>
      <protection/>
    </xf>
    <xf numFmtId="0" fontId="0" fillId="36" borderId="20" xfId="0" applyFill="1" applyBorder="1" applyAlignment="1" applyProtection="1">
      <alignment/>
      <protection/>
    </xf>
    <xf numFmtId="0" fontId="0" fillId="36" borderId="21" xfId="0" applyFill="1" applyBorder="1" applyAlignment="1" applyProtection="1">
      <alignment/>
      <protection/>
    </xf>
    <xf numFmtId="0" fontId="0" fillId="36" borderId="22" xfId="0" applyFill="1" applyBorder="1" applyAlignment="1" applyProtection="1">
      <alignment/>
      <protection/>
    </xf>
    <xf numFmtId="0" fontId="0" fillId="36" borderId="0" xfId="0" applyFill="1" applyBorder="1" applyAlignment="1" applyProtection="1" quotePrefix="1">
      <alignment horizontal="right"/>
      <protection/>
    </xf>
    <xf numFmtId="49" fontId="0" fillId="34" borderId="32" xfId="0" applyNumberFormat="1" applyFill="1" applyBorder="1" applyAlignment="1" applyProtection="1">
      <alignment/>
      <protection/>
    </xf>
    <xf numFmtId="0" fontId="0" fillId="36" borderId="0" xfId="0" applyFill="1" applyBorder="1" applyAlignment="1" applyProtection="1">
      <alignment horizontal="right"/>
      <protection/>
    </xf>
    <xf numFmtId="0" fontId="0" fillId="36" borderId="23" xfId="0" applyFill="1" applyBorder="1" applyAlignment="1" applyProtection="1">
      <alignment/>
      <protection/>
    </xf>
    <xf numFmtId="49" fontId="0" fillId="34" borderId="33" xfId="0" applyNumberFormat="1" applyFill="1" applyBorder="1" applyAlignment="1" applyProtection="1">
      <alignment/>
      <protection/>
    </xf>
    <xf numFmtId="49" fontId="0" fillId="34" borderId="34" xfId="0" applyNumberFormat="1" applyFill="1" applyBorder="1" applyAlignment="1" applyProtection="1">
      <alignment/>
      <protection/>
    </xf>
    <xf numFmtId="0" fontId="0" fillId="36" borderId="0" xfId="0" applyFill="1" applyBorder="1" applyAlignment="1" applyProtection="1">
      <alignment/>
      <protection/>
    </xf>
    <xf numFmtId="0" fontId="0" fillId="36" borderId="35" xfId="0" applyFill="1" applyBorder="1" applyAlignment="1" applyProtection="1">
      <alignment/>
      <protection/>
    </xf>
    <xf numFmtId="0" fontId="0" fillId="36" borderId="24" xfId="0" applyFill="1" applyBorder="1" applyAlignment="1" applyProtection="1">
      <alignment/>
      <protection/>
    </xf>
    <xf numFmtId="0" fontId="0" fillId="36" borderId="25" xfId="0" applyFill="1" applyBorder="1" applyAlignment="1" applyProtection="1">
      <alignment/>
      <protection/>
    </xf>
    <xf numFmtId="0" fontId="0" fillId="34" borderId="15" xfId="0" applyFill="1" applyBorder="1" applyAlignment="1" applyProtection="1">
      <alignment/>
      <protection/>
    </xf>
    <xf numFmtId="0" fontId="0" fillId="34" borderId="16" xfId="0" applyFill="1" applyBorder="1" applyAlignment="1" applyProtection="1">
      <alignment/>
      <protection/>
    </xf>
    <xf numFmtId="0" fontId="0" fillId="34" borderId="17" xfId="0" applyFill="1" applyBorder="1" applyAlignment="1" applyProtection="1">
      <alignment/>
      <protection/>
    </xf>
    <xf numFmtId="43" fontId="0" fillId="34" borderId="0" xfId="0" applyNumberFormat="1" applyFont="1" applyFill="1" applyBorder="1" applyAlignment="1" applyProtection="1">
      <alignment/>
      <protection/>
    </xf>
    <xf numFmtId="168" fontId="0" fillId="35" borderId="26" xfId="0" applyNumberFormat="1" applyFont="1" applyFill="1" applyBorder="1" applyAlignment="1" applyProtection="1">
      <alignment/>
      <protection/>
    </xf>
    <xf numFmtId="167" fontId="7" fillId="34" borderId="0" xfId="0" applyNumberFormat="1" applyFont="1" applyFill="1" applyBorder="1" applyAlignment="1">
      <alignment/>
    </xf>
    <xf numFmtId="167" fontId="0" fillId="34" borderId="0" xfId="0" applyNumberFormat="1" applyFont="1" applyFill="1" applyBorder="1" applyAlignment="1">
      <alignment/>
    </xf>
    <xf numFmtId="0" fontId="8" fillId="34" borderId="35" xfId="0" applyFont="1" applyFill="1" applyBorder="1" applyAlignment="1">
      <alignment/>
    </xf>
    <xf numFmtId="0" fontId="0" fillId="36" borderId="0" xfId="0" applyFill="1" applyBorder="1" applyAlignment="1" applyProtection="1">
      <alignment horizontal="centerContinuous"/>
      <protection/>
    </xf>
    <xf numFmtId="49" fontId="0" fillId="34" borderId="29" xfId="0" applyNumberFormat="1" applyFill="1" applyBorder="1" applyAlignment="1">
      <alignment/>
    </xf>
    <xf numFmtId="0" fontId="1" fillId="34" borderId="36" xfId="0" applyFont="1" applyFill="1" applyBorder="1" applyAlignment="1">
      <alignment horizontal="right"/>
    </xf>
    <xf numFmtId="0" fontId="0" fillId="2" borderId="0" xfId="58">
      <alignment/>
      <protection/>
    </xf>
    <xf numFmtId="7" fontId="0" fillId="34" borderId="26" xfId="0" applyNumberFormat="1" applyFill="1" applyBorder="1" applyAlignment="1" applyProtection="1">
      <alignment/>
      <protection locked="0"/>
    </xf>
    <xf numFmtId="0" fontId="0" fillId="34" borderId="0" xfId="0" applyNumberFormat="1" applyFont="1" applyFill="1" applyBorder="1" applyAlignment="1">
      <alignment/>
    </xf>
    <xf numFmtId="0" fontId="8" fillId="34" borderId="22" xfId="0" applyFont="1" applyFill="1" applyBorder="1" applyAlignment="1">
      <alignment/>
    </xf>
    <xf numFmtId="43" fontId="0" fillId="34" borderId="26" xfId="0" applyNumberFormat="1" applyFill="1" applyBorder="1" applyAlignment="1" applyProtection="1">
      <alignment/>
      <protection/>
    </xf>
    <xf numFmtId="0" fontId="0" fillId="34" borderId="37" xfId="0" applyFill="1" applyBorder="1" applyAlignment="1" applyProtection="1">
      <alignment/>
      <protection locked="0"/>
    </xf>
    <xf numFmtId="7" fontId="0" fillId="35" borderId="26" xfId="0" applyNumberFormat="1" applyFont="1" applyFill="1" applyBorder="1" applyAlignment="1" applyProtection="1">
      <alignment horizontal="right"/>
      <protection/>
    </xf>
    <xf numFmtId="1" fontId="0" fillId="35" borderId="26" xfId="0" applyNumberFormat="1" applyFont="1" applyFill="1" applyBorder="1" applyAlignment="1" applyProtection="1">
      <alignment horizontal="right"/>
      <protection/>
    </xf>
    <xf numFmtId="167" fontId="7" fillId="34" borderId="0" xfId="0" applyNumberFormat="1" applyFont="1" applyFill="1" applyAlignment="1">
      <alignment/>
    </xf>
    <xf numFmtId="7" fontId="0" fillId="34" borderId="26" xfId="0" applyNumberFormat="1" applyFill="1" applyBorder="1" applyAlignment="1" applyProtection="1">
      <alignment horizontal="right"/>
      <protection/>
    </xf>
    <xf numFmtId="0" fontId="0" fillId="0" borderId="0" xfId="57" applyFill="1">
      <alignment/>
      <protection/>
    </xf>
    <xf numFmtId="169" fontId="0" fillId="0" borderId="0" xfId="57" applyNumberFormat="1" applyFill="1">
      <alignment/>
      <protection/>
    </xf>
    <xf numFmtId="0" fontId="0" fillId="0" borderId="0" xfId="57" applyFont="1" applyFill="1">
      <alignment/>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ezimal [0]_Compiling Utility Macros" xfId="46"/>
    <cellStyle name="Dezimal_Compiling Utility Macros"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_Int. Data Table_1" xfId="57"/>
    <cellStyle name="Normal_Lock" xfId="58"/>
    <cellStyle name="Note" xfId="59"/>
    <cellStyle name="Output" xfId="60"/>
    <cellStyle name="Percent" xfId="61"/>
    <cellStyle name="Standard_Anpassen der Amortisation" xfId="62"/>
    <cellStyle name="Title" xfId="63"/>
    <cellStyle name="Total" xfId="64"/>
    <cellStyle name="Währung [0]_Compiling Utility Macros" xfId="65"/>
    <cellStyle name="Währung_Compiling Utility Macros"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49"/>
      <c:rotY val="40"/>
      <c:depthPercent val="200"/>
      <c:rAngAx val="1"/>
    </c:view3D>
    <c:plotArea>
      <c:layout>
        <c:manualLayout>
          <c:xMode val="edge"/>
          <c:yMode val="edge"/>
          <c:x val="0.00025"/>
          <c:y val="0.00025"/>
          <c:w val="0.9595"/>
          <c:h val="0.9995"/>
        </c:manualLayout>
      </c:layout>
      <c:area3DChart>
        <c:grouping val="stacked"/>
        <c:varyColors val="0"/>
        <c:ser>
          <c:idx val="0"/>
          <c:order val="0"/>
          <c:tx>
            <c:v>Interest</c:v>
          </c:tx>
          <c:spPr>
            <a:solidFill>
              <a:srgbClr val="8080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[0]!DTS</c:f>
              <c:strCache>
                <c:ptCount val="48"/>
                <c:pt idx="0">
                  <c:v>42675</c:v>
                </c:pt>
                <c:pt idx="1">
                  <c:v>42705</c:v>
                </c:pt>
                <c:pt idx="2">
                  <c:v>42736</c:v>
                </c:pt>
                <c:pt idx="3">
                  <c:v>42767</c:v>
                </c:pt>
                <c:pt idx="4">
                  <c:v>42795</c:v>
                </c:pt>
                <c:pt idx="5">
                  <c:v>42826</c:v>
                </c:pt>
                <c:pt idx="6">
                  <c:v>42856</c:v>
                </c:pt>
                <c:pt idx="7">
                  <c:v>42887</c:v>
                </c:pt>
                <c:pt idx="8">
                  <c:v>42917</c:v>
                </c:pt>
                <c:pt idx="9">
                  <c:v>42948</c:v>
                </c:pt>
                <c:pt idx="10">
                  <c:v>42979</c:v>
                </c:pt>
                <c:pt idx="11">
                  <c:v>43009</c:v>
                </c:pt>
                <c:pt idx="12">
                  <c:v>43040</c:v>
                </c:pt>
                <c:pt idx="13">
                  <c:v>43070</c:v>
                </c:pt>
                <c:pt idx="14">
                  <c:v>43101</c:v>
                </c:pt>
                <c:pt idx="15">
                  <c:v>43132</c:v>
                </c:pt>
                <c:pt idx="16">
                  <c:v>43160</c:v>
                </c:pt>
                <c:pt idx="17">
                  <c:v>43191</c:v>
                </c:pt>
                <c:pt idx="18">
                  <c:v>43221</c:v>
                </c:pt>
                <c:pt idx="19">
                  <c:v>43252</c:v>
                </c:pt>
                <c:pt idx="20">
                  <c:v>43282</c:v>
                </c:pt>
                <c:pt idx="21">
                  <c:v>43313</c:v>
                </c:pt>
                <c:pt idx="22">
                  <c:v>43344</c:v>
                </c:pt>
                <c:pt idx="23">
                  <c:v>43374</c:v>
                </c:pt>
                <c:pt idx="24">
                  <c:v>43405</c:v>
                </c:pt>
                <c:pt idx="25">
                  <c:v>43435</c:v>
                </c:pt>
                <c:pt idx="26">
                  <c:v>43466</c:v>
                </c:pt>
                <c:pt idx="27">
                  <c:v>43497</c:v>
                </c:pt>
                <c:pt idx="28">
                  <c:v>43525</c:v>
                </c:pt>
                <c:pt idx="29">
                  <c:v>43556</c:v>
                </c:pt>
                <c:pt idx="30">
                  <c:v>43586</c:v>
                </c:pt>
                <c:pt idx="31">
                  <c:v>43617</c:v>
                </c:pt>
                <c:pt idx="32">
                  <c:v>43647</c:v>
                </c:pt>
                <c:pt idx="33">
                  <c:v>43678</c:v>
                </c:pt>
                <c:pt idx="34">
                  <c:v>43709</c:v>
                </c:pt>
                <c:pt idx="35">
                  <c:v>43739</c:v>
                </c:pt>
                <c:pt idx="36">
                  <c:v>43770</c:v>
                </c:pt>
                <c:pt idx="37">
                  <c:v>43800</c:v>
                </c:pt>
                <c:pt idx="38">
                  <c:v>43831</c:v>
                </c:pt>
                <c:pt idx="39">
                  <c:v>43862</c:v>
                </c:pt>
                <c:pt idx="40">
                  <c:v>43891</c:v>
                </c:pt>
                <c:pt idx="41">
                  <c:v>43922</c:v>
                </c:pt>
                <c:pt idx="42">
                  <c:v>43952</c:v>
                </c:pt>
                <c:pt idx="43">
                  <c:v>43983</c:v>
                </c:pt>
                <c:pt idx="44">
                  <c:v>44013</c:v>
                </c:pt>
                <c:pt idx="45">
                  <c:v>44044</c:v>
                </c:pt>
                <c:pt idx="46">
                  <c:v>44075</c:v>
                </c:pt>
                <c:pt idx="47">
                  <c:v>44105</c:v>
                </c:pt>
              </c:strCache>
            </c:strRef>
          </c:cat>
          <c:val>
            <c:numRef>
              <c:f>[0]!SRS1</c:f>
              <c:numCache>
                <c:ptCount val="48"/>
                <c:pt idx="0">
                  <c:v>-812.5</c:v>
                </c:pt>
                <c:pt idx="1">
                  <c:v>-811.1057</c:v>
                </c:pt>
                <c:pt idx="2">
                  <c:v>-809.7079</c:v>
                </c:pt>
                <c:pt idx="3">
                  <c:v>-808.3067</c:v>
                </c:pt>
                <c:pt idx="4">
                  <c:v>-806.9019</c:v>
                </c:pt>
                <c:pt idx="5">
                  <c:v>-805.4936</c:v>
                </c:pt>
                <c:pt idx="6">
                  <c:v>-804.0818</c:v>
                </c:pt>
                <c:pt idx="7">
                  <c:v>-802.6665</c:v>
                </c:pt>
                <c:pt idx="8">
                  <c:v>-801.2476</c:v>
                </c:pt>
                <c:pt idx="9">
                  <c:v>-799.8252</c:v>
                </c:pt>
                <c:pt idx="10">
                  <c:v>-798.3993</c:v>
                </c:pt>
                <c:pt idx="11">
                  <c:v>-796.9697</c:v>
                </c:pt>
                <c:pt idx="12">
                  <c:v>-795.5366</c:v>
                </c:pt>
                <c:pt idx="13">
                  <c:v>-794.0999</c:v>
                </c:pt>
                <c:pt idx="14">
                  <c:v>-792.6596</c:v>
                </c:pt>
                <c:pt idx="15">
                  <c:v>-791.2158</c:v>
                </c:pt>
                <c:pt idx="16">
                  <c:v>-789.7683</c:v>
                </c:pt>
                <c:pt idx="17">
                  <c:v>-788.3172</c:v>
                </c:pt>
                <c:pt idx="18">
                  <c:v>-786.8624</c:v>
                </c:pt>
                <c:pt idx="19">
                  <c:v>-785.404</c:v>
                </c:pt>
                <c:pt idx="20">
                  <c:v>-783.942</c:v>
                </c:pt>
                <c:pt idx="21">
                  <c:v>-782.4763</c:v>
                </c:pt>
                <c:pt idx="22">
                  <c:v>-781.007</c:v>
                </c:pt>
                <c:pt idx="23">
                  <c:v>-779.534</c:v>
                </c:pt>
                <c:pt idx="24">
                  <c:v>-778.0573</c:v>
                </c:pt>
                <c:pt idx="25">
                  <c:v>-776.5769</c:v>
                </c:pt>
                <c:pt idx="26">
                  <c:v>-775.0928</c:v>
                </c:pt>
                <c:pt idx="27">
                  <c:v>-773.605</c:v>
                </c:pt>
                <c:pt idx="28">
                  <c:v>-772.1135</c:v>
                </c:pt>
                <c:pt idx="29">
                  <c:v>-770.6182</c:v>
                </c:pt>
                <c:pt idx="30">
                  <c:v>-769.1192</c:v>
                </c:pt>
                <c:pt idx="31">
                  <c:v>-767.6165</c:v>
                </c:pt>
                <c:pt idx="32">
                  <c:v>-766.11</c:v>
                </c:pt>
                <c:pt idx="33">
                  <c:v>-764.5998</c:v>
                </c:pt>
                <c:pt idx="34">
                  <c:v>-763.0857</c:v>
                </c:pt>
                <c:pt idx="35">
                  <c:v>-761.5679</c:v>
                </c:pt>
                <c:pt idx="36">
                  <c:v>-760.0463</c:v>
                </c:pt>
                <c:pt idx="37">
                  <c:v>-758.5209</c:v>
                </c:pt>
                <c:pt idx="38">
                  <c:v>-756.9917</c:v>
                </c:pt>
                <c:pt idx="39">
                  <c:v>-755.4586</c:v>
                </c:pt>
                <c:pt idx="40">
                  <c:v>-753.9217</c:v>
                </c:pt>
                <c:pt idx="41">
                  <c:v>-752.381</c:v>
                </c:pt>
                <c:pt idx="42">
                  <c:v>-750.8364</c:v>
                </c:pt>
                <c:pt idx="43">
                  <c:v>-749.288</c:v>
                </c:pt>
                <c:pt idx="44">
                  <c:v>-747.7357</c:v>
                </c:pt>
                <c:pt idx="45">
                  <c:v>-746.1795</c:v>
                </c:pt>
                <c:pt idx="46">
                  <c:v>-744.6194</c:v>
                </c:pt>
                <c:pt idx="47">
                  <c:v>-743.0554</c:v>
                </c:pt>
              </c:numCache>
            </c:numRef>
          </c:val>
        </c:ser>
        <c:ser>
          <c:idx val="1"/>
          <c:order val="1"/>
          <c:tx>
            <c:v>Principal</c:v>
          </c:tx>
          <c:spPr>
            <a:solidFill>
              <a:srgbClr val="80206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[0]!DTS</c:f>
              <c:strCache>
                <c:ptCount val="48"/>
                <c:pt idx="0">
                  <c:v>42675</c:v>
                </c:pt>
                <c:pt idx="1">
                  <c:v>42705</c:v>
                </c:pt>
                <c:pt idx="2">
                  <c:v>42736</c:v>
                </c:pt>
                <c:pt idx="3">
                  <c:v>42767</c:v>
                </c:pt>
                <c:pt idx="4">
                  <c:v>42795</c:v>
                </c:pt>
                <c:pt idx="5">
                  <c:v>42826</c:v>
                </c:pt>
                <c:pt idx="6">
                  <c:v>42856</c:v>
                </c:pt>
                <c:pt idx="7">
                  <c:v>42887</c:v>
                </c:pt>
                <c:pt idx="8">
                  <c:v>42917</c:v>
                </c:pt>
                <c:pt idx="9">
                  <c:v>42948</c:v>
                </c:pt>
                <c:pt idx="10">
                  <c:v>42979</c:v>
                </c:pt>
                <c:pt idx="11">
                  <c:v>43009</c:v>
                </c:pt>
                <c:pt idx="12">
                  <c:v>43040</c:v>
                </c:pt>
                <c:pt idx="13">
                  <c:v>43070</c:v>
                </c:pt>
                <c:pt idx="14">
                  <c:v>43101</c:v>
                </c:pt>
                <c:pt idx="15">
                  <c:v>43132</c:v>
                </c:pt>
                <c:pt idx="16">
                  <c:v>43160</c:v>
                </c:pt>
                <c:pt idx="17">
                  <c:v>43191</c:v>
                </c:pt>
                <c:pt idx="18">
                  <c:v>43221</c:v>
                </c:pt>
                <c:pt idx="19">
                  <c:v>43252</c:v>
                </c:pt>
                <c:pt idx="20">
                  <c:v>43282</c:v>
                </c:pt>
                <c:pt idx="21">
                  <c:v>43313</c:v>
                </c:pt>
                <c:pt idx="22">
                  <c:v>43344</c:v>
                </c:pt>
                <c:pt idx="23">
                  <c:v>43374</c:v>
                </c:pt>
                <c:pt idx="24">
                  <c:v>43405</c:v>
                </c:pt>
                <c:pt idx="25">
                  <c:v>43435</c:v>
                </c:pt>
                <c:pt idx="26">
                  <c:v>43466</c:v>
                </c:pt>
                <c:pt idx="27">
                  <c:v>43497</c:v>
                </c:pt>
                <c:pt idx="28">
                  <c:v>43525</c:v>
                </c:pt>
                <c:pt idx="29">
                  <c:v>43556</c:v>
                </c:pt>
                <c:pt idx="30">
                  <c:v>43586</c:v>
                </c:pt>
                <c:pt idx="31">
                  <c:v>43617</c:v>
                </c:pt>
                <c:pt idx="32">
                  <c:v>43647</c:v>
                </c:pt>
                <c:pt idx="33">
                  <c:v>43678</c:v>
                </c:pt>
                <c:pt idx="34">
                  <c:v>43709</c:v>
                </c:pt>
                <c:pt idx="35">
                  <c:v>43739</c:v>
                </c:pt>
                <c:pt idx="36">
                  <c:v>43770</c:v>
                </c:pt>
                <c:pt idx="37">
                  <c:v>43800</c:v>
                </c:pt>
                <c:pt idx="38">
                  <c:v>43831</c:v>
                </c:pt>
                <c:pt idx="39">
                  <c:v>43862</c:v>
                </c:pt>
                <c:pt idx="40">
                  <c:v>43891</c:v>
                </c:pt>
                <c:pt idx="41">
                  <c:v>43922</c:v>
                </c:pt>
                <c:pt idx="42">
                  <c:v>43952</c:v>
                </c:pt>
                <c:pt idx="43">
                  <c:v>43983</c:v>
                </c:pt>
                <c:pt idx="44">
                  <c:v>44013</c:v>
                </c:pt>
                <c:pt idx="45">
                  <c:v>44044</c:v>
                </c:pt>
                <c:pt idx="46">
                  <c:v>44075</c:v>
                </c:pt>
                <c:pt idx="47">
                  <c:v>44105</c:v>
                </c:pt>
              </c:strCache>
            </c:strRef>
          </c:cat>
          <c:val>
            <c:numRef>
              <c:f>[0]!SRS2</c:f>
              <c:numCache>
                <c:ptCount val="48"/>
                <c:pt idx="0">
                  <c:v>-557.7131</c:v>
                </c:pt>
                <c:pt idx="1">
                  <c:v>-559.1074</c:v>
                </c:pt>
                <c:pt idx="2">
                  <c:v>-560.5052</c:v>
                </c:pt>
                <c:pt idx="3">
                  <c:v>-561.9064</c:v>
                </c:pt>
                <c:pt idx="4">
                  <c:v>-563.3112</c:v>
                </c:pt>
                <c:pt idx="5">
                  <c:v>-564.7195</c:v>
                </c:pt>
                <c:pt idx="6">
                  <c:v>-566.1313</c:v>
                </c:pt>
                <c:pt idx="7">
                  <c:v>-567.5466</c:v>
                </c:pt>
                <c:pt idx="8">
                  <c:v>-568.9655</c:v>
                </c:pt>
                <c:pt idx="9">
                  <c:v>-570.3879</c:v>
                </c:pt>
                <c:pt idx="10">
                  <c:v>-571.8138</c:v>
                </c:pt>
                <c:pt idx="11">
                  <c:v>-573.2434</c:v>
                </c:pt>
                <c:pt idx="12">
                  <c:v>-574.6765</c:v>
                </c:pt>
                <c:pt idx="13">
                  <c:v>-576.1132</c:v>
                </c:pt>
                <c:pt idx="14">
                  <c:v>-577.5535</c:v>
                </c:pt>
                <c:pt idx="15">
                  <c:v>-578.9973</c:v>
                </c:pt>
                <c:pt idx="16">
                  <c:v>-580.4448</c:v>
                </c:pt>
                <c:pt idx="17">
                  <c:v>-581.8959</c:v>
                </c:pt>
                <c:pt idx="18">
                  <c:v>-583.3507</c:v>
                </c:pt>
                <c:pt idx="19">
                  <c:v>-584.8091</c:v>
                </c:pt>
                <c:pt idx="20">
                  <c:v>-586.2711</c:v>
                </c:pt>
                <c:pt idx="21">
                  <c:v>-587.7368</c:v>
                </c:pt>
                <c:pt idx="22">
                  <c:v>-589.2061</c:v>
                </c:pt>
                <c:pt idx="23">
                  <c:v>-590.6791</c:v>
                </c:pt>
                <c:pt idx="24">
                  <c:v>-592.1558</c:v>
                </c:pt>
                <c:pt idx="25">
                  <c:v>-593.6362</c:v>
                </c:pt>
                <c:pt idx="26">
                  <c:v>-595.1203</c:v>
                </c:pt>
                <c:pt idx="27">
                  <c:v>-596.6081</c:v>
                </c:pt>
                <c:pt idx="28">
                  <c:v>-598.0996</c:v>
                </c:pt>
                <c:pt idx="29">
                  <c:v>-599.5949</c:v>
                </c:pt>
                <c:pt idx="30">
                  <c:v>-601.0939</c:v>
                </c:pt>
                <c:pt idx="31">
                  <c:v>-602.5966</c:v>
                </c:pt>
                <c:pt idx="32">
                  <c:v>-604.1031</c:v>
                </c:pt>
                <c:pt idx="33">
                  <c:v>-605.6133</c:v>
                </c:pt>
                <c:pt idx="34">
                  <c:v>-607.1274</c:v>
                </c:pt>
                <c:pt idx="35">
                  <c:v>-608.6452</c:v>
                </c:pt>
                <c:pt idx="36">
                  <c:v>-610.1668</c:v>
                </c:pt>
                <c:pt idx="37">
                  <c:v>-611.6922</c:v>
                </c:pt>
                <c:pt idx="38">
                  <c:v>-613.2214</c:v>
                </c:pt>
                <c:pt idx="39">
                  <c:v>-614.7545</c:v>
                </c:pt>
                <c:pt idx="40">
                  <c:v>-616.2914</c:v>
                </c:pt>
                <c:pt idx="41">
                  <c:v>-617.8321</c:v>
                </c:pt>
                <c:pt idx="42">
                  <c:v>-619.3767</c:v>
                </c:pt>
                <c:pt idx="43">
                  <c:v>-620.9251</c:v>
                </c:pt>
                <c:pt idx="44">
                  <c:v>-622.4774</c:v>
                </c:pt>
                <c:pt idx="45">
                  <c:v>-624.0336</c:v>
                </c:pt>
                <c:pt idx="46">
                  <c:v>-625.5937</c:v>
                </c:pt>
                <c:pt idx="47">
                  <c:v>-627.1577</c:v>
                </c:pt>
              </c:numCache>
            </c:numRef>
          </c:val>
        </c:ser>
        <c:gapDepth val="0"/>
        <c:axId val="19588805"/>
        <c:axId val="42081518"/>
      </c:area3DChart>
      <c:catAx>
        <c:axId val="19588805"/>
        <c:scaling>
          <c:orientation val="minMax"/>
        </c:scaling>
        <c:axPos val="b"/>
        <c:delete val="0"/>
        <c:numFmt formatCode="General" sourceLinked="1"/>
        <c:majorTickMark val="out"/>
        <c:minorTickMark val="none"/>
        <c:tickLblPos val="low"/>
        <c:spPr>
          <a:ln w="3175">
            <a:solidFill>
              <a:srgbClr val="000000"/>
            </a:solidFill>
          </a:ln>
        </c:spPr>
        <c:crossAx val="42081518"/>
        <c:crosses val="autoZero"/>
        <c:auto val="0"/>
        <c:lblOffset val="100"/>
        <c:tickLblSkip val="3"/>
        <c:noMultiLvlLbl val="0"/>
      </c:catAx>
      <c:valAx>
        <c:axId val="42081518"/>
        <c:scaling>
          <c:orientation val="minMax"/>
        </c:scaling>
        <c:axPos val="l"/>
        <c:delete val="0"/>
        <c:numFmt formatCode="General" sourceLinked="1"/>
        <c:majorTickMark val="out"/>
        <c:minorTickMark val="none"/>
        <c:tickLblPos val="nextTo"/>
        <c:spPr>
          <a:ln w="3175">
            <a:solidFill>
              <a:srgbClr val="000000"/>
            </a:solidFill>
          </a:ln>
        </c:spPr>
        <c:crossAx val="19588805"/>
        <c:crossesAt val="1"/>
        <c:crossBetween val="midCat"/>
        <c:dispUnits/>
      </c:valAx>
      <c:spPr>
        <a:noFill/>
        <a:ln>
          <a:noFill/>
        </a:ln>
      </c:spPr>
    </c:plotArea>
    <c:legend>
      <c:legendPos val="r"/>
      <c:layout>
        <c:manualLayout>
          <c:xMode val="edge"/>
          <c:yMode val="edge"/>
          <c:x val="0.907"/>
          <c:y val="0.5215"/>
          <c:w val="0.093"/>
          <c:h val="0.138"/>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floor>
      <c:spPr>
        <a:solidFill>
          <a:srgbClr val="C0C0C0"/>
        </a:solidFill>
        <a:ln w="3175">
          <a:solidFill>
            <a:srgbClr val="000000"/>
          </a:solidFill>
        </a:ln>
      </c:spPr>
      <c:thickness val="0"/>
    </c:floor>
    <c:sideWall>
      <c:spPr>
        <a:solidFill>
          <a:srgbClr val="FFFFFF"/>
        </a:solidFill>
        <a:ln w="3175">
          <a:solidFill>
            <a:srgbClr val="000000"/>
          </a:solidFill>
        </a:ln>
      </c:spPr>
      <c:thickness val="0"/>
    </c:sideWall>
    <c:backWall>
      <c:spPr>
        <a:solidFill>
          <a:srgbClr val="FFFFFF"/>
        </a:solidFill>
        <a:ln w="3175">
          <a:solidFill>
            <a:srgbClr val="000000"/>
          </a:solidFill>
        </a:ln>
      </c:spPr>
      <c:thickness val="0"/>
    </c:backWall>
    <c:plotVisOnly val="1"/>
    <c:dispBlanksAs val="zero"/>
    <c:showDLblsOverMax val="0"/>
  </c:chart>
  <c:spPr>
    <a:solidFill>
      <a:srgbClr val="FFFFFF"/>
    </a:solidFill>
    <a:ln w="25400">
      <a:solidFill>
        <a:srgbClr val="008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3</xdr:row>
      <xdr:rowOff>9525</xdr:rowOff>
    </xdr:from>
    <xdr:to>
      <xdr:col>6</xdr:col>
      <xdr:colOff>981075</xdr:colOff>
      <xdr:row>5</xdr:row>
      <xdr:rowOff>76200</xdr:rowOff>
    </xdr:to>
    <xdr:sp macro="[0]!Nada">
      <xdr:nvSpPr>
        <xdr:cNvPr id="1" name="LBL"/>
        <xdr:cNvSpPr txBox="1">
          <a:spLocks noChangeArrowheads="1"/>
        </xdr:cNvSpPr>
      </xdr:nvSpPr>
      <xdr:spPr>
        <a:xfrm>
          <a:off x="295275" y="352425"/>
          <a:ext cx="4591050" cy="276225"/>
        </a:xfrm>
        <a:prstGeom prst="rect">
          <a:avLst/>
        </a:prstGeom>
        <a:solidFill>
          <a:srgbClr val="FFFFFF"/>
        </a:solidFill>
        <a:ln w="1" cmpd="sng">
          <a:noFill/>
        </a:ln>
      </xdr:spPr>
      <xdr:txBody>
        <a:bodyPr vertOverflow="clip" wrap="square" lIns="45720" tIns="36576" rIns="45720" bIns="36576" anchor="ctr"/>
        <a:p>
          <a:pPr algn="ctr">
            <a:defRPr/>
          </a:pPr>
          <a:r>
            <a:rPr lang="en-US" cap="none" sz="1800" b="1" i="1" u="none" baseline="0">
              <a:solidFill>
                <a:srgbClr val="000000"/>
              </a:solidFill>
              <a:latin typeface="Arial"/>
              <a:ea typeface="Arial"/>
              <a:cs typeface="Arial"/>
            </a:rPr>
            <a:t>CUSTOMIZE YOUR LOAN MANAGER</a:t>
          </a:r>
        </a:p>
      </xdr:txBody>
    </xdr:sp>
    <xdr:clientData/>
  </xdr:twoCellAnchor>
  <xdr:twoCellAnchor>
    <xdr:from>
      <xdr:col>5</xdr:col>
      <xdr:colOff>1143000</xdr:colOff>
      <xdr:row>24</xdr:row>
      <xdr:rowOff>47625</xdr:rowOff>
    </xdr:from>
    <xdr:to>
      <xdr:col>7</xdr:col>
      <xdr:colOff>1295400</xdr:colOff>
      <xdr:row>29</xdr:row>
      <xdr:rowOff>142875</xdr:rowOff>
    </xdr:to>
    <xdr:sp macro="[0]!Nada" fLocksText="0">
      <xdr:nvSpPr>
        <xdr:cNvPr id="2" name="LT"/>
        <xdr:cNvSpPr txBox="1">
          <a:spLocks noChangeArrowheads="1"/>
        </xdr:cNvSpPr>
      </xdr:nvSpPr>
      <xdr:spPr>
        <a:xfrm>
          <a:off x="3000375" y="3590925"/>
          <a:ext cx="3448050" cy="904875"/>
        </a:xfrm>
        <a:prstGeom prst="rect">
          <a:avLst/>
        </a:prstGeom>
        <a:solidFill>
          <a:srgbClr val="FFFFFF"/>
        </a:solidFill>
        <a:ln w="1" cmpd="sng">
          <a:solidFill>
            <a:srgbClr val="000000"/>
          </a:solidFill>
          <a:headEnd type="none"/>
          <a:tailEnd type="none"/>
        </a:ln>
      </xdr:spPr>
      <xdr:txBody>
        <a:bodyPr vertOverflow="clip" wrap="square" lIns="45720" tIns="36576" rIns="0" bIns="0"/>
        <a:p>
          <a:pPr algn="l">
            <a:defRPr/>
          </a:pPr>
          <a:r>
            <a:rPr lang="en-US" cap="none" sz="2000" b="0" i="0" u="none" baseline="0">
              <a:solidFill>
                <a:srgbClr val="000000"/>
              </a:solidFill>
              <a:latin typeface="Arial"/>
              <a:ea typeface="Arial"/>
              <a:cs typeface="Arial"/>
            </a:rPr>
            <a:t>FAMILY NAME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Family Address
</a:t>
          </a:r>
          <a:r>
            <a:rPr lang="en-US" cap="none" sz="1000" b="0" i="0" u="none" baseline="0">
              <a:solidFill>
                <a:srgbClr val="000000"/>
              </a:solidFill>
              <a:latin typeface="Arial"/>
              <a:ea typeface="Arial"/>
              <a:cs typeface="Arial"/>
            </a:rPr>
            <a:t>City, State  ZIP Code
</a:t>
          </a:r>
          <a:r>
            <a:rPr lang="en-US" cap="none" sz="1000" b="0" i="0" u="none" baseline="0">
              <a:solidFill>
                <a:srgbClr val="000000"/>
              </a:solidFill>
              <a:latin typeface="Arial"/>
              <a:ea typeface="Arial"/>
              <a:cs typeface="Arial"/>
            </a:rPr>
            <a:t>Phone Number fax Fax Number</a:t>
          </a:r>
        </a:p>
      </xdr:txBody>
    </xdr:sp>
    <xdr:clientData/>
  </xdr:twoCellAnchor>
  <xdr:twoCellAnchor>
    <xdr:from>
      <xdr:col>4</xdr:col>
      <xdr:colOff>200025</xdr:colOff>
      <xdr:row>24</xdr:row>
      <xdr:rowOff>95250</xdr:rowOff>
    </xdr:from>
    <xdr:to>
      <xdr:col>4</xdr:col>
      <xdr:colOff>1057275</xdr:colOff>
      <xdr:row>29</xdr:row>
      <xdr:rowOff>104775</xdr:rowOff>
    </xdr:to>
    <xdr:sp macro="[0]!Nada">
      <xdr:nvSpPr>
        <xdr:cNvPr id="3" name="LG"/>
        <xdr:cNvSpPr txBox="1">
          <a:spLocks noChangeArrowheads="1"/>
        </xdr:cNvSpPr>
      </xdr:nvSpPr>
      <xdr:spPr>
        <a:xfrm>
          <a:off x="809625" y="3638550"/>
          <a:ext cx="857250" cy="819150"/>
        </a:xfrm>
        <a:prstGeom prst="rect">
          <a:avLst/>
        </a:prstGeom>
        <a:solidFill>
          <a:srgbClr val="C0C0C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1" u="none" baseline="0">
              <a:solidFill>
                <a:srgbClr val="000000"/>
              </a:solidFill>
              <a:latin typeface="Arial"/>
              <a:ea typeface="Arial"/>
              <a:cs typeface="Arial"/>
            </a:rPr>
            <a:t>Insert
</a:t>
          </a:r>
          <a:r>
            <a:rPr lang="en-US" cap="none" sz="1000" b="0" i="1" u="none" baseline="0">
              <a:solidFill>
                <a:srgbClr val="000000"/>
              </a:solidFill>
              <a:latin typeface="Arial"/>
              <a:ea typeface="Arial"/>
              <a:cs typeface="Arial"/>
            </a:rPr>
            <a:t>Logo
</a:t>
          </a:r>
          <a:r>
            <a:rPr lang="en-US" cap="none" sz="1000" b="0" i="1" u="none" baseline="0">
              <a:solidFill>
                <a:srgbClr val="000000"/>
              </a:solidFill>
              <a:latin typeface="Arial"/>
              <a:ea typeface="Arial"/>
              <a:cs typeface="Arial"/>
            </a:rPr>
            <a:t>Here</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742950</xdr:colOff>
      <xdr:row>2</xdr:row>
      <xdr:rowOff>57150</xdr:rowOff>
    </xdr:from>
    <xdr:to>
      <xdr:col>8</xdr:col>
      <xdr:colOff>142875</xdr:colOff>
      <xdr:row>7</xdr:row>
      <xdr:rowOff>133350</xdr:rowOff>
    </xdr:to>
    <xdr:sp macro="[0]!Nada">
      <xdr:nvSpPr>
        <xdr:cNvPr id="1" name="LT"/>
        <xdr:cNvSpPr txBox="1">
          <a:spLocks noChangeArrowheads="1"/>
        </xdr:cNvSpPr>
      </xdr:nvSpPr>
      <xdr:spPr>
        <a:xfrm>
          <a:off x="1352550" y="238125"/>
          <a:ext cx="3457575" cy="885825"/>
        </a:xfrm>
        <a:prstGeom prst="rect">
          <a:avLst/>
        </a:prstGeom>
        <a:solidFill>
          <a:srgbClr val="FFFFFF"/>
        </a:solidFill>
        <a:ln w="1" cmpd="sng">
          <a:noFill/>
        </a:ln>
      </xdr:spPr>
      <xdr:txBody>
        <a:bodyPr vertOverflow="clip" wrap="square" lIns="45720" tIns="36576" rIns="0" bIns="0"/>
        <a:p>
          <a:pPr algn="l">
            <a:defRPr/>
          </a:pPr>
          <a:r>
            <a:rPr lang="en-US" cap="none" sz="2000" b="0" i="0" u="none" baseline="0">
              <a:solidFill>
                <a:srgbClr val="000000"/>
              </a:solidFill>
              <a:latin typeface="Arial"/>
              <a:ea typeface="Arial"/>
              <a:cs typeface="Arial"/>
            </a:rPr>
            <a:t>FAMILY NAME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Family Address
</a:t>
          </a:r>
          <a:r>
            <a:rPr lang="en-US" cap="none" sz="1000" b="0" i="0" u="none" baseline="0">
              <a:solidFill>
                <a:srgbClr val="000000"/>
              </a:solidFill>
              <a:latin typeface="Arial"/>
              <a:ea typeface="Arial"/>
              <a:cs typeface="Arial"/>
            </a:rPr>
            <a:t>City, State  ZIP Code
</a:t>
          </a:r>
          <a:r>
            <a:rPr lang="en-US" cap="none" sz="1000" b="0" i="0" u="none" baseline="0">
              <a:solidFill>
                <a:srgbClr val="000000"/>
              </a:solidFill>
              <a:latin typeface="Arial"/>
              <a:ea typeface="Arial"/>
              <a:cs typeface="Arial"/>
            </a:rPr>
            <a:t>Phone Number fax Fax Number</a:t>
          </a:r>
        </a:p>
      </xdr:txBody>
    </xdr:sp>
    <xdr:clientData/>
  </xdr:twoCellAnchor>
  <xdr:twoCellAnchor>
    <xdr:from>
      <xdr:col>4</xdr:col>
      <xdr:colOff>1362075</xdr:colOff>
      <xdr:row>28</xdr:row>
      <xdr:rowOff>104775</xdr:rowOff>
    </xdr:from>
    <xdr:to>
      <xdr:col>8</xdr:col>
      <xdr:colOff>914400</xdr:colOff>
      <xdr:row>31</xdr:row>
      <xdr:rowOff>85725</xdr:rowOff>
    </xdr:to>
    <xdr:sp macro="[0]!FinePrint">
      <xdr:nvSpPr>
        <xdr:cNvPr id="2" name="FP"/>
        <xdr:cNvSpPr txBox="1">
          <a:spLocks noChangeArrowheads="1"/>
        </xdr:cNvSpPr>
      </xdr:nvSpPr>
      <xdr:spPr>
        <a:xfrm>
          <a:off x="1971675" y="4257675"/>
          <a:ext cx="3609975" cy="466725"/>
        </a:xfrm>
        <a:prstGeom prst="rect">
          <a:avLst/>
        </a:prstGeom>
        <a:solidFill>
          <a:srgbClr val="C0C0C0"/>
        </a:solidFill>
        <a:ln w="1" cmpd="sng">
          <a:noFill/>
        </a:ln>
      </xdr:spPr>
      <xdr:txBody>
        <a:bodyPr vertOverflow="clip" wrap="square" lIns="27432" tIns="22860" rIns="27432" bIns="22860" anchor="ctr"/>
        <a:p>
          <a:pPr algn="ctr">
            <a:defRPr/>
          </a:pPr>
          <a:r>
            <a:rPr lang="en-US" cap="none" sz="1000" b="0" i="1" u="none" baseline="0">
              <a:solidFill>
                <a:srgbClr val="000000"/>
              </a:solidFill>
              <a:latin typeface="Arial"/>
              <a:ea typeface="Arial"/>
              <a:cs typeface="Arial"/>
            </a:rPr>
            <a:t>Insert Fine Print Here</a:t>
          </a:r>
        </a:p>
      </xdr:txBody>
    </xdr:sp>
    <xdr:clientData/>
  </xdr:twoCellAnchor>
  <xdr:twoCellAnchor>
    <xdr:from>
      <xdr:col>8</xdr:col>
      <xdr:colOff>104775</xdr:colOff>
      <xdr:row>7</xdr:row>
      <xdr:rowOff>28575</xdr:rowOff>
    </xdr:from>
    <xdr:to>
      <xdr:col>9</xdr:col>
      <xdr:colOff>819150</xdr:colOff>
      <xdr:row>9</xdr:row>
      <xdr:rowOff>104775</xdr:rowOff>
    </xdr:to>
    <xdr:sp macro="[0]!Nada">
      <xdr:nvSpPr>
        <xdr:cNvPr id="3" name="LBL"/>
        <xdr:cNvSpPr txBox="1">
          <a:spLocks noChangeArrowheads="1"/>
        </xdr:cNvSpPr>
      </xdr:nvSpPr>
      <xdr:spPr>
        <a:xfrm>
          <a:off x="4772025" y="1019175"/>
          <a:ext cx="1762125" cy="285750"/>
        </a:xfrm>
        <a:prstGeom prst="rect">
          <a:avLst/>
        </a:prstGeom>
        <a:solidFill>
          <a:srgbClr val="FFFFFF"/>
        </a:solidFill>
        <a:ln w="1" cmpd="sng">
          <a:noFill/>
        </a:ln>
      </xdr:spPr>
      <xdr:txBody>
        <a:bodyPr vertOverflow="clip" wrap="square" lIns="45720" tIns="36576" rIns="45720" bIns="36576" anchor="ctr"/>
        <a:p>
          <a:pPr algn="ctr">
            <a:defRPr/>
          </a:pPr>
          <a:r>
            <a:rPr lang="en-US" cap="none" sz="1800" b="1" i="1" u="none" baseline="0">
              <a:solidFill>
                <a:srgbClr val="000000"/>
              </a:solidFill>
              <a:latin typeface="Arial"/>
              <a:ea typeface="Arial"/>
              <a:cs typeface="Arial"/>
            </a:rPr>
            <a:t>LOAN DATA</a:t>
          </a:r>
        </a:p>
      </xdr:txBody>
    </xdr:sp>
    <xdr:clientData/>
  </xdr:twoCellAnchor>
  <xdr:twoCellAnchor>
    <xdr:from>
      <xdr:col>3</xdr:col>
      <xdr:colOff>28575</xdr:colOff>
      <xdr:row>2</xdr:row>
      <xdr:rowOff>66675</xdr:rowOff>
    </xdr:from>
    <xdr:to>
      <xdr:col>4</xdr:col>
      <xdr:colOff>628650</xdr:colOff>
      <xdr:row>7</xdr:row>
      <xdr:rowOff>104775</xdr:rowOff>
    </xdr:to>
    <xdr:sp macro="[0]!Nada">
      <xdr:nvSpPr>
        <xdr:cNvPr id="4" name="LG"/>
        <xdr:cNvSpPr txBox="1">
          <a:spLocks noChangeArrowheads="1"/>
        </xdr:cNvSpPr>
      </xdr:nvSpPr>
      <xdr:spPr>
        <a:xfrm>
          <a:off x="390525" y="247650"/>
          <a:ext cx="847725" cy="847725"/>
        </a:xfrm>
        <a:prstGeom prst="rect">
          <a:avLst/>
        </a:prstGeom>
        <a:solidFill>
          <a:srgbClr val="C0C0C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1" u="none" baseline="0">
              <a:solidFill>
                <a:srgbClr val="000000"/>
              </a:solidFill>
              <a:latin typeface="Arial"/>
              <a:ea typeface="Arial"/>
              <a:cs typeface="Arial"/>
            </a:rPr>
            <a:t>Insert
</a:t>
          </a:r>
          <a:r>
            <a:rPr lang="en-US" cap="none" sz="1000" b="0" i="1" u="none" baseline="0">
              <a:solidFill>
                <a:srgbClr val="000000"/>
              </a:solidFill>
              <a:latin typeface="Arial"/>
              <a:ea typeface="Arial"/>
              <a:cs typeface="Arial"/>
            </a:rPr>
            <a:t>Logo
</a:t>
          </a:r>
          <a:r>
            <a:rPr lang="en-US" cap="none" sz="1000" b="0" i="1" u="none" baseline="0">
              <a:solidFill>
                <a:srgbClr val="000000"/>
              </a:solidFill>
              <a:latin typeface="Arial"/>
              <a:ea typeface="Arial"/>
              <a:cs typeface="Arial"/>
            </a:rPr>
            <a:t>Here</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466725</xdr:colOff>
      <xdr:row>3</xdr:row>
      <xdr:rowOff>57150</xdr:rowOff>
    </xdr:from>
    <xdr:to>
      <xdr:col>12</xdr:col>
      <xdr:colOff>752475</xdr:colOff>
      <xdr:row>5</xdr:row>
      <xdr:rowOff>133350</xdr:rowOff>
    </xdr:to>
    <xdr:sp macro="[0]!Nada">
      <xdr:nvSpPr>
        <xdr:cNvPr id="1" name="LBL"/>
        <xdr:cNvSpPr txBox="1">
          <a:spLocks noChangeArrowheads="1"/>
        </xdr:cNvSpPr>
      </xdr:nvSpPr>
      <xdr:spPr>
        <a:xfrm>
          <a:off x="3600450" y="400050"/>
          <a:ext cx="3676650" cy="285750"/>
        </a:xfrm>
        <a:prstGeom prst="rect">
          <a:avLst/>
        </a:prstGeom>
        <a:solidFill>
          <a:srgbClr val="FFFFFF"/>
        </a:solidFill>
        <a:ln w="1" cmpd="sng">
          <a:noFill/>
        </a:ln>
      </xdr:spPr>
      <xdr:txBody>
        <a:bodyPr vertOverflow="clip" wrap="square" lIns="45720" tIns="36576" rIns="45720" bIns="36576" anchor="ctr"/>
        <a:p>
          <a:pPr algn="ctr">
            <a:defRPr/>
          </a:pPr>
          <a:r>
            <a:rPr lang="en-US" cap="none" sz="1800" b="1" i="1" u="none" baseline="0">
              <a:solidFill>
                <a:srgbClr val="000000"/>
              </a:solidFill>
              <a:latin typeface="Arial"/>
              <a:ea typeface="Arial"/>
              <a:cs typeface="Arial"/>
            </a:rPr>
            <a:t>LOAN AMORTIZATION TABLE</a:t>
          </a:r>
        </a:p>
      </xdr:txBody>
    </xdr:sp>
    <xdr:clientData/>
  </xdr:twoCellAnchor>
  <xdr:twoCellAnchor>
    <xdr:from>
      <xdr:col>4</xdr:col>
      <xdr:colOff>295275</xdr:colOff>
      <xdr:row>10</xdr:row>
      <xdr:rowOff>76200</xdr:rowOff>
    </xdr:from>
    <xdr:to>
      <xdr:col>7</xdr:col>
      <xdr:colOff>114300</xdr:colOff>
      <xdr:row>12</xdr:row>
      <xdr:rowOff>66675</xdr:rowOff>
    </xdr:to>
    <xdr:sp>
      <xdr:nvSpPr>
        <xdr:cNvPr id="2" name="AMTB1"/>
        <xdr:cNvSpPr>
          <a:spLocks/>
        </xdr:cNvSpPr>
      </xdr:nvSpPr>
      <xdr:spPr>
        <a:xfrm>
          <a:off x="904875" y="1447800"/>
          <a:ext cx="1495425" cy="314325"/>
        </a:xfrm>
        <a:prstGeom prst="roundRect">
          <a:avLst/>
        </a:prstGeom>
        <a:noFill/>
        <a:ln w="952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9</xdr:row>
      <xdr:rowOff>133350</xdr:rowOff>
    </xdr:from>
    <xdr:to>
      <xdr:col>5</xdr:col>
      <xdr:colOff>552450</xdr:colOff>
      <xdr:row>10</xdr:row>
      <xdr:rowOff>142875</xdr:rowOff>
    </xdr:to>
    <xdr:sp macro="[0]!Nada">
      <xdr:nvSpPr>
        <xdr:cNvPr id="3" name="AMT1"/>
        <xdr:cNvSpPr txBox="1">
          <a:spLocks noChangeArrowheads="1"/>
        </xdr:cNvSpPr>
      </xdr:nvSpPr>
      <xdr:spPr>
        <a:xfrm>
          <a:off x="1066800" y="1343025"/>
          <a:ext cx="476250" cy="171450"/>
        </a:xfrm>
        <a:prstGeom prst="rect">
          <a:avLst/>
        </a:prstGeom>
        <a:solidFill>
          <a:srgbClr val="FFFFFF"/>
        </a:solidFill>
        <a:ln w="1" cmpd="sng">
          <a:noFill/>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Date</a:t>
          </a:r>
        </a:p>
      </xdr:txBody>
    </xdr:sp>
    <xdr:clientData/>
  </xdr:twoCellAnchor>
  <xdr:twoCellAnchor>
    <xdr:from>
      <xdr:col>9</xdr:col>
      <xdr:colOff>723900</xdr:colOff>
      <xdr:row>10</xdr:row>
      <xdr:rowOff>76200</xdr:rowOff>
    </xdr:from>
    <xdr:to>
      <xdr:col>13</xdr:col>
      <xdr:colOff>123825</xdr:colOff>
      <xdr:row>12</xdr:row>
      <xdr:rowOff>66675</xdr:rowOff>
    </xdr:to>
    <xdr:sp>
      <xdr:nvSpPr>
        <xdr:cNvPr id="4" name="AMTB2"/>
        <xdr:cNvSpPr>
          <a:spLocks/>
        </xdr:cNvSpPr>
      </xdr:nvSpPr>
      <xdr:spPr>
        <a:xfrm>
          <a:off x="4705350" y="1447800"/>
          <a:ext cx="2790825" cy="314325"/>
        </a:xfrm>
        <a:prstGeom prst="roundRect">
          <a:avLst/>
        </a:prstGeom>
        <a:noFill/>
        <a:ln w="952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66675</xdr:colOff>
      <xdr:row>9</xdr:row>
      <xdr:rowOff>142875</xdr:rowOff>
    </xdr:from>
    <xdr:to>
      <xdr:col>11</xdr:col>
      <xdr:colOff>314325</xdr:colOff>
      <xdr:row>10</xdr:row>
      <xdr:rowOff>152400</xdr:rowOff>
    </xdr:to>
    <xdr:sp macro="[0]!Nada">
      <xdr:nvSpPr>
        <xdr:cNvPr id="5" name="AMT2"/>
        <xdr:cNvSpPr txBox="1">
          <a:spLocks noChangeArrowheads="1"/>
        </xdr:cNvSpPr>
      </xdr:nvSpPr>
      <xdr:spPr>
        <a:xfrm>
          <a:off x="4895850" y="1352550"/>
          <a:ext cx="1095375" cy="171450"/>
        </a:xfrm>
        <a:prstGeom prst="rect">
          <a:avLst/>
        </a:prstGeom>
        <a:solidFill>
          <a:srgbClr val="FFFFFF"/>
        </a:solidFill>
        <a:ln w="1" cmpd="sng">
          <a:noFill/>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Lender Name</a:t>
          </a:r>
        </a:p>
      </xdr:txBody>
    </xdr:sp>
    <xdr:clientData/>
  </xdr:twoCellAnchor>
  <xdr:twoCellAnchor>
    <xdr:from>
      <xdr:col>6</xdr:col>
      <xdr:colOff>342900</xdr:colOff>
      <xdr:row>63</xdr:row>
      <xdr:rowOff>0</xdr:rowOff>
    </xdr:from>
    <xdr:to>
      <xdr:col>11</xdr:col>
      <xdr:colOff>571500</xdr:colOff>
      <xdr:row>63</xdr:row>
      <xdr:rowOff>0</xdr:rowOff>
    </xdr:to>
    <xdr:sp macro="[0]!FinePrint" fLocksText="0">
      <xdr:nvSpPr>
        <xdr:cNvPr id="6" name="FP"/>
        <xdr:cNvSpPr txBox="1">
          <a:spLocks noChangeArrowheads="1"/>
        </xdr:cNvSpPr>
      </xdr:nvSpPr>
      <xdr:spPr>
        <a:xfrm>
          <a:off x="2047875" y="10277475"/>
          <a:ext cx="4200525" cy="0"/>
        </a:xfrm>
        <a:prstGeom prst="rect">
          <a:avLst/>
        </a:prstGeom>
        <a:solidFill>
          <a:srgbClr val="C0C0C0"/>
        </a:solidFill>
        <a:ln w="1" cmpd="sng">
          <a:noFill/>
        </a:ln>
      </xdr:spPr>
      <xdr:txBody>
        <a:bodyPr vertOverflow="clip" wrap="square" lIns="27432" tIns="22860" rIns="27432" bIns="22860" anchor="ctr"/>
        <a:p>
          <a:pPr algn="ctr">
            <a:defRPr/>
          </a:pPr>
          <a:r>
            <a:rPr lang="en-US" cap="none" sz="1000" b="0" i="1" u="none" baseline="0">
              <a:solidFill>
                <a:srgbClr val="000000"/>
              </a:solidFill>
              <a:latin typeface="Arial"/>
              <a:ea typeface="Arial"/>
              <a:cs typeface="Arial"/>
            </a:rPr>
            <a:t>Insert Fine Print Here</a:t>
          </a:r>
        </a:p>
      </xdr:txBody>
    </xdr:sp>
    <xdr:clientData/>
  </xdr:twoCellAnchor>
  <xdr:twoCellAnchor>
    <xdr:from>
      <xdr:col>6</xdr:col>
      <xdr:colOff>342900</xdr:colOff>
      <xdr:row>63</xdr:row>
      <xdr:rowOff>0</xdr:rowOff>
    </xdr:from>
    <xdr:to>
      <xdr:col>11</xdr:col>
      <xdr:colOff>571500</xdr:colOff>
      <xdr:row>63</xdr:row>
      <xdr:rowOff>0</xdr:rowOff>
    </xdr:to>
    <xdr:sp macro="[0]!FinePrint" fLocksText="0">
      <xdr:nvSpPr>
        <xdr:cNvPr id="7" name="Text 9"/>
        <xdr:cNvSpPr txBox="1">
          <a:spLocks noChangeArrowheads="1"/>
        </xdr:cNvSpPr>
      </xdr:nvSpPr>
      <xdr:spPr>
        <a:xfrm>
          <a:off x="2047875" y="10277475"/>
          <a:ext cx="4200525" cy="0"/>
        </a:xfrm>
        <a:prstGeom prst="rect">
          <a:avLst/>
        </a:prstGeom>
        <a:solidFill>
          <a:srgbClr val="C0C0C0"/>
        </a:solidFill>
        <a:ln w="1" cmpd="sng">
          <a:noFill/>
        </a:ln>
      </xdr:spPr>
      <xdr:txBody>
        <a:bodyPr vertOverflow="clip" wrap="square" lIns="27432" tIns="22860" rIns="27432" bIns="22860" anchor="ctr"/>
        <a:p>
          <a:pPr algn="ctr">
            <a:defRPr/>
          </a:pPr>
          <a:r>
            <a:rPr lang="en-US" cap="none" sz="1000" b="0" i="1" u="none" baseline="0">
              <a:solidFill>
                <a:srgbClr val="000000"/>
              </a:solidFill>
              <a:latin typeface="Arial"/>
              <a:ea typeface="Arial"/>
              <a:cs typeface="Arial"/>
            </a:rPr>
            <a:t>Insert Fine Print Here</a:t>
          </a:r>
        </a:p>
      </xdr:txBody>
    </xdr:sp>
    <xdr:clientData/>
  </xdr:twoCellAnchor>
  <xdr:twoCellAnchor>
    <xdr:from>
      <xdr:col>6</xdr:col>
      <xdr:colOff>342900</xdr:colOff>
      <xdr:row>63</xdr:row>
      <xdr:rowOff>0</xdr:rowOff>
    </xdr:from>
    <xdr:to>
      <xdr:col>11</xdr:col>
      <xdr:colOff>571500</xdr:colOff>
      <xdr:row>63</xdr:row>
      <xdr:rowOff>0</xdr:rowOff>
    </xdr:to>
    <xdr:sp macro="[0]!FinePrint" fLocksText="0">
      <xdr:nvSpPr>
        <xdr:cNvPr id="8" name="Text 10"/>
        <xdr:cNvSpPr txBox="1">
          <a:spLocks noChangeArrowheads="1"/>
        </xdr:cNvSpPr>
      </xdr:nvSpPr>
      <xdr:spPr>
        <a:xfrm>
          <a:off x="2047875" y="10277475"/>
          <a:ext cx="4200525" cy="0"/>
        </a:xfrm>
        <a:prstGeom prst="rect">
          <a:avLst/>
        </a:prstGeom>
        <a:solidFill>
          <a:srgbClr val="C0C0C0"/>
        </a:solidFill>
        <a:ln w="1" cmpd="sng">
          <a:noFill/>
        </a:ln>
      </xdr:spPr>
      <xdr:txBody>
        <a:bodyPr vertOverflow="clip" wrap="square" lIns="27432" tIns="22860" rIns="27432" bIns="22860" anchor="ctr"/>
        <a:p>
          <a:pPr algn="ctr">
            <a:defRPr/>
          </a:pPr>
          <a:r>
            <a:rPr lang="en-US" cap="none" sz="1000" b="0" i="1" u="none" baseline="0">
              <a:solidFill>
                <a:srgbClr val="000000"/>
              </a:solidFill>
              <a:latin typeface="Arial"/>
              <a:ea typeface="Arial"/>
              <a:cs typeface="Arial"/>
            </a:rPr>
            <a:t>Insert Fine Print Here</a:t>
          </a:r>
        </a:p>
      </xdr:txBody>
    </xdr:sp>
    <xdr:clientData/>
  </xdr:twoCellAnchor>
  <xdr:twoCellAnchor>
    <xdr:from>
      <xdr:col>6</xdr:col>
      <xdr:colOff>342900</xdr:colOff>
      <xdr:row>63</xdr:row>
      <xdr:rowOff>0</xdr:rowOff>
    </xdr:from>
    <xdr:to>
      <xdr:col>11</xdr:col>
      <xdr:colOff>571500</xdr:colOff>
      <xdr:row>63</xdr:row>
      <xdr:rowOff>0</xdr:rowOff>
    </xdr:to>
    <xdr:sp macro="[0]!FinePrint" fLocksText="0">
      <xdr:nvSpPr>
        <xdr:cNvPr id="9" name="Text 11"/>
        <xdr:cNvSpPr txBox="1">
          <a:spLocks noChangeArrowheads="1"/>
        </xdr:cNvSpPr>
      </xdr:nvSpPr>
      <xdr:spPr>
        <a:xfrm>
          <a:off x="2047875" y="10277475"/>
          <a:ext cx="4200525" cy="0"/>
        </a:xfrm>
        <a:prstGeom prst="rect">
          <a:avLst/>
        </a:prstGeom>
        <a:solidFill>
          <a:srgbClr val="C0C0C0"/>
        </a:solidFill>
        <a:ln w="1" cmpd="sng">
          <a:noFill/>
        </a:ln>
      </xdr:spPr>
      <xdr:txBody>
        <a:bodyPr vertOverflow="clip" wrap="square" lIns="27432" tIns="22860" rIns="27432" bIns="22860" anchor="ctr"/>
        <a:p>
          <a:pPr algn="ctr">
            <a:defRPr/>
          </a:pPr>
          <a:r>
            <a:rPr lang="en-US" cap="none" sz="1000" b="0" i="1" u="none" baseline="0">
              <a:solidFill>
                <a:srgbClr val="000000"/>
              </a:solidFill>
              <a:latin typeface="Arial"/>
              <a:ea typeface="Arial"/>
              <a:cs typeface="Arial"/>
            </a:rPr>
            <a:t>Insert Fine Print Here</a:t>
          </a:r>
        </a:p>
      </xdr:txBody>
    </xdr:sp>
    <xdr:clientData/>
  </xdr:twoCellAnchor>
  <xdr:twoCellAnchor>
    <xdr:from>
      <xdr:col>6</xdr:col>
      <xdr:colOff>342900</xdr:colOff>
      <xdr:row>63</xdr:row>
      <xdr:rowOff>0</xdr:rowOff>
    </xdr:from>
    <xdr:to>
      <xdr:col>11</xdr:col>
      <xdr:colOff>571500</xdr:colOff>
      <xdr:row>63</xdr:row>
      <xdr:rowOff>0</xdr:rowOff>
    </xdr:to>
    <xdr:sp macro="[0]!FinePrint" fLocksText="0">
      <xdr:nvSpPr>
        <xdr:cNvPr id="10" name="Text 12"/>
        <xdr:cNvSpPr txBox="1">
          <a:spLocks noChangeArrowheads="1"/>
        </xdr:cNvSpPr>
      </xdr:nvSpPr>
      <xdr:spPr>
        <a:xfrm>
          <a:off x="2047875" y="10277475"/>
          <a:ext cx="4200525" cy="0"/>
        </a:xfrm>
        <a:prstGeom prst="rect">
          <a:avLst/>
        </a:prstGeom>
        <a:solidFill>
          <a:srgbClr val="C0C0C0"/>
        </a:solidFill>
        <a:ln w="1" cmpd="sng">
          <a:noFill/>
        </a:ln>
      </xdr:spPr>
      <xdr:txBody>
        <a:bodyPr vertOverflow="clip" wrap="square" lIns="27432" tIns="22860" rIns="27432" bIns="22860" anchor="ctr"/>
        <a:p>
          <a:pPr algn="ctr">
            <a:defRPr/>
          </a:pPr>
          <a:r>
            <a:rPr lang="en-US" cap="none" sz="1000" b="0" i="1" u="none" baseline="0">
              <a:solidFill>
                <a:srgbClr val="000000"/>
              </a:solidFill>
              <a:latin typeface="Arial"/>
              <a:ea typeface="Arial"/>
              <a:cs typeface="Arial"/>
            </a:rPr>
            <a:t>Insert Fine Print Here</a:t>
          </a:r>
        </a:p>
      </xdr:txBody>
    </xdr:sp>
    <xdr:clientData/>
  </xdr:twoCellAnchor>
  <xdr:twoCellAnchor>
    <xdr:from>
      <xdr:col>6</xdr:col>
      <xdr:colOff>342900</xdr:colOff>
      <xdr:row>63</xdr:row>
      <xdr:rowOff>0</xdr:rowOff>
    </xdr:from>
    <xdr:to>
      <xdr:col>11</xdr:col>
      <xdr:colOff>571500</xdr:colOff>
      <xdr:row>63</xdr:row>
      <xdr:rowOff>0</xdr:rowOff>
    </xdr:to>
    <xdr:sp macro="[0]!FinePrint" fLocksText="0">
      <xdr:nvSpPr>
        <xdr:cNvPr id="11" name="Text 13"/>
        <xdr:cNvSpPr txBox="1">
          <a:spLocks noChangeArrowheads="1"/>
        </xdr:cNvSpPr>
      </xdr:nvSpPr>
      <xdr:spPr>
        <a:xfrm>
          <a:off x="2047875" y="10277475"/>
          <a:ext cx="4200525" cy="0"/>
        </a:xfrm>
        <a:prstGeom prst="rect">
          <a:avLst/>
        </a:prstGeom>
        <a:solidFill>
          <a:srgbClr val="C0C0C0"/>
        </a:solidFill>
        <a:ln w="1" cmpd="sng">
          <a:noFill/>
        </a:ln>
      </xdr:spPr>
      <xdr:txBody>
        <a:bodyPr vertOverflow="clip" wrap="square" lIns="27432" tIns="22860" rIns="27432" bIns="22860" anchor="ctr"/>
        <a:p>
          <a:pPr algn="ctr">
            <a:defRPr/>
          </a:pPr>
          <a:r>
            <a:rPr lang="en-US" cap="none" sz="1000" b="0" i="1" u="none" baseline="0">
              <a:solidFill>
                <a:srgbClr val="000000"/>
              </a:solidFill>
              <a:latin typeface="Arial"/>
              <a:ea typeface="Arial"/>
              <a:cs typeface="Arial"/>
            </a:rPr>
            <a:t>Insert Fine Print Here</a:t>
          </a:r>
        </a:p>
      </xdr:txBody>
    </xdr:sp>
    <xdr:clientData/>
  </xdr:twoCellAnchor>
  <xdr:twoCellAnchor>
    <xdr:from>
      <xdr:col>6</xdr:col>
      <xdr:colOff>342900</xdr:colOff>
      <xdr:row>63</xdr:row>
      <xdr:rowOff>0</xdr:rowOff>
    </xdr:from>
    <xdr:to>
      <xdr:col>11</xdr:col>
      <xdr:colOff>571500</xdr:colOff>
      <xdr:row>63</xdr:row>
      <xdr:rowOff>0</xdr:rowOff>
    </xdr:to>
    <xdr:sp macro="[0]!FinePrint" fLocksText="0">
      <xdr:nvSpPr>
        <xdr:cNvPr id="12" name="Text 14"/>
        <xdr:cNvSpPr txBox="1">
          <a:spLocks noChangeArrowheads="1"/>
        </xdr:cNvSpPr>
      </xdr:nvSpPr>
      <xdr:spPr>
        <a:xfrm>
          <a:off x="2047875" y="10277475"/>
          <a:ext cx="4200525" cy="0"/>
        </a:xfrm>
        <a:prstGeom prst="rect">
          <a:avLst/>
        </a:prstGeom>
        <a:solidFill>
          <a:srgbClr val="C0C0C0"/>
        </a:solidFill>
        <a:ln w="1" cmpd="sng">
          <a:noFill/>
        </a:ln>
      </xdr:spPr>
      <xdr:txBody>
        <a:bodyPr vertOverflow="clip" wrap="square" lIns="27432" tIns="22860" rIns="27432" bIns="22860" anchor="ctr"/>
        <a:p>
          <a:pPr algn="ctr">
            <a:defRPr/>
          </a:pPr>
          <a:r>
            <a:rPr lang="en-US" cap="none" sz="1000" b="0" i="1" u="none" baseline="0">
              <a:solidFill>
                <a:srgbClr val="000000"/>
              </a:solidFill>
              <a:latin typeface="Arial"/>
              <a:ea typeface="Arial"/>
              <a:cs typeface="Arial"/>
            </a:rPr>
            <a:t>Insert Fine Print Here</a:t>
          </a:r>
        </a:p>
      </xdr:txBody>
    </xdr:sp>
    <xdr:clientData/>
  </xdr:twoCellAnchor>
  <xdr:twoCellAnchor>
    <xdr:from>
      <xdr:col>6</xdr:col>
      <xdr:colOff>342900</xdr:colOff>
      <xdr:row>63</xdr:row>
      <xdr:rowOff>0</xdr:rowOff>
    </xdr:from>
    <xdr:to>
      <xdr:col>11</xdr:col>
      <xdr:colOff>571500</xdr:colOff>
      <xdr:row>63</xdr:row>
      <xdr:rowOff>0</xdr:rowOff>
    </xdr:to>
    <xdr:sp macro="[0]!FinePrint" fLocksText="0">
      <xdr:nvSpPr>
        <xdr:cNvPr id="13" name="Text 15"/>
        <xdr:cNvSpPr txBox="1">
          <a:spLocks noChangeArrowheads="1"/>
        </xdr:cNvSpPr>
      </xdr:nvSpPr>
      <xdr:spPr>
        <a:xfrm>
          <a:off x="2047875" y="10277475"/>
          <a:ext cx="4200525" cy="0"/>
        </a:xfrm>
        <a:prstGeom prst="rect">
          <a:avLst/>
        </a:prstGeom>
        <a:solidFill>
          <a:srgbClr val="C0C0C0"/>
        </a:solidFill>
        <a:ln w="1" cmpd="sng">
          <a:noFill/>
        </a:ln>
      </xdr:spPr>
      <xdr:txBody>
        <a:bodyPr vertOverflow="clip" wrap="square" lIns="27432" tIns="22860" rIns="27432" bIns="22860" anchor="ctr"/>
        <a:p>
          <a:pPr algn="ctr">
            <a:defRPr/>
          </a:pPr>
          <a:r>
            <a:rPr lang="en-US" cap="none" sz="1000" b="0" i="1" u="none" baseline="0">
              <a:solidFill>
                <a:srgbClr val="000000"/>
              </a:solidFill>
              <a:latin typeface="Arial"/>
              <a:ea typeface="Arial"/>
              <a:cs typeface="Arial"/>
            </a:rPr>
            <a:t>Insert Fine Print Here</a:t>
          </a:r>
        </a:p>
      </xdr:txBody>
    </xdr:sp>
    <xdr:clientData/>
  </xdr:twoCellAnchor>
  <xdr:twoCellAnchor>
    <xdr:from>
      <xdr:col>6</xdr:col>
      <xdr:colOff>342900</xdr:colOff>
      <xdr:row>63</xdr:row>
      <xdr:rowOff>0</xdr:rowOff>
    </xdr:from>
    <xdr:to>
      <xdr:col>11</xdr:col>
      <xdr:colOff>571500</xdr:colOff>
      <xdr:row>63</xdr:row>
      <xdr:rowOff>0</xdr:rowOff>
    </xdr:to>
    <xdr:sp macro="[0]!FinePrint" fLocksText="0">
      <xdr:nvSpPr>
        <xdr:cNvPr id="14" name="Text 16"/>
        <xdr:cNvSpPr txBox="1">
          <a:spLocks noChangeArrowheads="1"/>
        </xdr:cNvSpPr>
      </xdr:nvSpPr>
      <xdr:spPr>
        <a:xfrm>
          <a:off x="2047875" y="10277475"/>
          <a:ext cx="4200525" cy="0"/>
        </a:xfrm>
        <a:prstGeom prst="rect">
          <a:avLst/>
        </a:prstGeom>
        <a:solidFill>
          <a:srgbClr val="C0C0C0"/>
        </a:solidFill>
        <a:ln w="1" cmpd="sng">
          <a:noFill/>
        </a:ln>
      </xdr:spPr>
      <xdr:txBody>
        <a:bodyPr vertOverflow="clip" wrap="square" lIns="27432" tIns="22860" rIns="27432" bIns="22860" anchor="ctr"/>
        <a:p>
          <a:pPr algn="ctr">
            <a:defRPr/>
          </a:pPr>
          <a:r>
            <a:rPr lang="en-US" cap="none" sz="1000" b="0" i="1" u="none" baseline="0">
              <a:solidFill>
                <a:srgbClr val="000000"/>
              </a:solidFill>
              <a:latin typeface="Arial"/>
              <a:ea typeface="Arial"/>
              <a:cs typeface="Arial"/>
            </a:rPr>
            <a:t>Insert Fine Print Here</a:t>
          </a:r>
        </a:p>
      </xdr:txBody>
    </xdr:sp>
    <xdr:clientData/>
  </xdr:twoCellAnchor>
  <xdr:twoCellAnchor>
    <xdr:from>
      <xdr:col>6</xdr:col>
      <xdr:colOff>342900</xdr:colOff>
      <xdr:row>63</xdr:row>
      <xdr:rowOff>0</xdr:rowOff>
    </xdr:from>
    <xdr:to>
      <xdr:col>11</xdr:col>
      <xdr:colOff>571500</xdr:colOff>
      <xdr:row>63</xdr:row>
      <xdr:rowOff>0</xdr:rowOff>
    </xdr:to>
    <xdr:sp macro="[0]!FinePrint" fLocksText="0">
      <xdr:nvSpPr>
        <xdr:cNvPr id="15" name="Text 17"/>
        <xdr:cNvSpPr txBox="1">
          <a:spLocks noChangeArrowheads="1"/>
        </xdr:cNvSpPr>
      </xdr:nvSpPr>
      <xdr:spPr>
        <a:xfrm>
          <a:off x="2047875" y="10277475"/>
          <a:ext cx="4200525" cy="0"/>
        </a:xfrm>
        <a:prstGeom prst="rect">
          <a:avLst/>
        </a:prstGeom>
        <a:solidFill>
          <a:srgbClr val="C0C0C0"/>
        </a:solidFill>
        <a:ln w="1" cmpd="sng">
          <a:noFill/>
        </a:ln>
      </xdr:spPr>
      <xdr:txBody>
        <a:bodyPr vertOverflow="clip" wrap="square" lIns="27432" tIns="22860" rIns="27432" bIns="22860" anchor="ctr"/>
        <a:p>
          <a:pPr algn="ctr">
            <a:defRPr/>
          </a:pPr>
          <a:r>
            <a:rPr lang="en-US" cap="none" sz="1000" b="0" i="1" u="none" baseline="0">
              <a:solidFill>
                <a:srgbClr val="000000"/>
              </a:solidFill>
              <a:latin typeface="Arial"/>
              <a:ea typeface="Arial"/>
              <a:cs typeface="Arial"/>
            </a:rPr>
            <a:t>Insert Fine Print Here</a:t>
          </a:r>
        </a:p>
      </xdr:txBody>
    </xdr:sp>
    <xdr:clientData/>
  </xdr:twoCellAnchor>
  <xdr:twoCellAnchor>
    <xdr:from>
      <xdr:col>6</xdr:col>
      <xdr:colOff>342900</xdr:colOff>
      <xdr:row>63</xdr:row>
      <xdr:rowOff>0</xdr:rowOff>
    </xdr:from>
    <xdr:to>
      <xdr:col>11</xdr:col>
      <xdr:colOff>571500</xdr:colOff>
      <xdr:row>63</xdr:row>
      <xdr:rowOff>0</xdr:rowOff>
    </xdr:to>
    <xdr:sp macro="[0]!FinePrint" fLocksText="0">
      <xdr:nvSpPr>
        <xdr:cNvPr id="16" name="Text 18"/>
        <xdr:cNvSpPr txBox="1">
          <a:spLocks noChangeArrowheads="1"/>
        </xdr:cNvSpPr>
      </xdr:nvSpPr>
      <xdr:spPr>
        <a:xfrm>
          <a:off x="2047875" y="10277475"/>
          <a:ext cx="4200525" cy="0"/>
        </a:xfrm>
        <a:prstGeom prst="rect">
          <a:avLst/>
        </a:prstGeom>
        <a:solidFill>
          <a:srgbClr val="C0C0C0"/>
        </a:solidFill>
        <a:ln w="1" cmpd="sng">
          <a:noFill/>
        </a:ln>
      </xdr:spPr>
      <xdr:txBody>
        <a:bodyPr vertOverflow="clip" wrap="square" lIns="27432" tIns="22860" rIns="27432" bIns="22860" anchor="ctr"/>
        <a:p>
          <a:pPr algn="ctr">
            <a:defRPr/>
          </a:pPr>
          <a:r>
            <a:rPr lang="en-US" cap="none" sz="1000" b="0" i="1" u="none" baseline="0">
              <a:solidFill>
                <a:srgbClr val="000000"/>
              </a:solidFill>
              <a:latin typeface="Arial"/>
              <a:ea typeface="Arial"/>
              <a:cs typeface="Arial"/>
            </a:rPr>
            <a:t>Insert Fine Print Here</a:t>
          </a:r>
        </a:p>
      </xdr:txBody>
    </xdr:sp>
    <xdr:clientData/>
  </xdr:twoCellAnchor>
  <xdr:twoCellAnchor>
    <xdr:from>
      <xdr:col>6</xdr:col>
      <xdr:colOff>342900</xdr:colOff>
      <xdr:row>63</xdr:row>
      <xdr:rowOff>0</xdr:rowOff>
    </xdr:from>
    <xdr:to>
      <xdr:col>11</xdr:col>
      <xdr:colOff>571500</xdr:colOff>
      <xdr:row>63</xdr:row>
      <xdr:rowOff>0</xdr:rowOff>
    </xdr:to>
    <xdr:sp macro="[0]!FinePrint" fLocksText="0">
      <xdr:nvSpPr>
        <xdr:cNvPr id="17" name="Text 19"/>
        <xdr:cNvSpPr txBox="1">
          <a:spLocks noChangeArrowheads="1"/>
        </xdr:cNvSpPr>
      </xdr:nvSpPr>
      <xdr:spPr>
        <a:xfrm>
          <a:off x="2047875" y="10277475"/>
          <a:ext cx="4200525" cy="0"/>
        </a:xfrm>
        <a:prstGeom prst="rect">
          <a:avLst/>
        </a:prstGeom>
        <a:solidFill>
          <a:srgbClr val="C0C0C0"/>
        </a:solidFill>
        <a:ln w="1" cmpd="sng">
          <a:noFill/>
        </a:ln>
      </xdr:spPr>
      <xdr:txBody>
        <a:bodyPr vertOverflow="clip" wrap="square" lIns="27432" tIns="22860" rIns="27432" bIns="22860" anchor="ctr"/>
        <a:p>
          <a:pPr algn="ctr">
            <a:defRPr/>
          </a:pPr>
          <a:r>
            <a:rPr lang="en-US" cap="none" sz="1000" b="0" i="1" u="none" baseline="0">
              <a:solidFill>
                <a:srgbClr val="000000"/>
              </a:solidFill>
              <a:latin typeface="Arial"/>
              <a:ea typeface="Arial"/>
              <a:cs typeface="Arial"/>
            </a:rPr>
            <a:t>Insert Fine Print Here</a:t>
          </a:r>
        </a:p>
      </xdr:txBody>
    </xdr:sp>
    <xdr:clientData/>
  </xdr:twoCellAnchor>
  <xdr:twoCellAnchor>
    <xdr:from>
      <xdr:col>6</xdr:col>
      <xdr:colOff>342900</xdr:colOff>
      <xdr:row>63</xdr:row>
      <xdr:rowOff>0</xdr:rowOff>
    </xdr:from>
    <xdr:to>
      <xdr:col>11</xdr:col>
      <xdr:colOff>571500</xdr:colOff>
      <xdr:row>63</xdr:row>
      <xdr:rowOff>0</xdr:rowOff>
    </xdr:to>
    <xdr:sp macro="[0]!FinePrint" fLocksText="0">
      <xdr:nvSpPr>
        <xdr:cNvPr id="18" name="Text 20"/>
        <xdr:cNvSpPr txBox="1">
          <a:spLocks noChangeArrowheads="1"/>
        </xdr:cNvSpPr>
      </xdr:nvSpPr>
      <xdr:spPr>
        <a:xfrm>
          <a:off x="2047875" y="10277475"/>
          <a:ext cx="4200525" cy="0"/>
        </a:xfrm>
        <a:prstGeom prst="rect">
          <a:avLst/>
        </a:prstGeom>
        <a:solidFill>
          <a:srgbClr val="C0C0C0"/>
        </a:solidFill>
        <a:ln w="1" cmpd="sng">
          <a:noFill/>
        </a:ln>
      </xdr:spPr>
      <xdr:txBody>
        <a:bodyPr vertOverflow="clip" wrap="square" lIns="27432" tIns="22860" rIns="27432" bIns="22860" anchor="ctr"/>
        <a:p>
          <a:pPr algn="ctr">
            <a:defRPr/>
          </a:pPr>
          <a:r>
            <a:rPr lang="en-US" cap="none" sz="1000" b="0" i="1" u="none" baseline="0">
              <a:solidFill>
                <a:srgbClr val="000000"/>
              </a:solidFill>
              <a:latin typeface="Arial"/>
              <a:ea typeface="Arial"/>
              <a:cs typeface="Arial"/>
            </a:rPr>
            <a:t>Insert Fine Print Here</a:t>
          </a:r>
        </a:p>
      </xdr:txBody>
    </xdr:sp>
    <xdr:clientData/>
  </xdr:twoCellAnchor>
  <xdr:twoCellAnchor>
    <xdr:from>
      <xdr:col>6</xdr:col>
      <xdr:colOff>342900</xdr:colOff>
      <xdr:row>63</xdr:row>
      <xdr:rowOff>0</xdr:rowOff>
    </xdr:from>
    <xdr:to>
      <xdr:col>11</xdr:col>
      <xdr:colOff>571500</xdr:colOff>
      <xdr:row>63</xdr:row>
      <xdr:rowOff>0</xdr:rowOff>
    </xdr:to>
    <xdr:sp macro="[0]!FinePrint" fLocksText="0">
      <xdr:nvSpPr>
        <xdr:cNvPr id="19" name="Text 21"/>
        <xdr:cNvSpPr txBox="1">
          <a:spLocks noChangeArrowheads="1"/>
        </xdr:cNvSpPr>
      </xdr:nvSpPr>
      <xdr:spPr>
        <a:xfrm>
          <a:off x="2047875" y="10277475"/>
          <a:ext cx="4200525" cy="0"/>
        </a:xfrm>
        <a:prstGeom prst="rect">
          <a:avLst/>
        </a:prstGeom>
        <a:solidFill>
          <a:srgbClr val="C0C0C0"/>
        </a:solidFill>
        <a:ln w="1" cmpd="sng">
          <a:noFill/>
        </a:ln>
      </xdr:spPr>
      <xdr:txBody>
        <a:bodyPr vertOverflow="clip" wrap="square" lIns="27432" tIns="22860" rIns="27432" bIns="22860" anchor="ctr"/>
        <a:p>
          <a:pPr algn="ctr">
            <a:defRPr/>
          </a:pPr>
          <a:r>
            <a:rPr lang="en-US" cap="none" sz="1000" b="0" i="1" u="none" baseline="0">
              <a:solidFill>
                <a:srgbClr val="000000"/>
              </a:solidFill>
              <a:latin typeface="Arial"/>
              <a:ea typeface="Arial"/>
              <a:cs typeface="Arial"/>
            </a:rPr>
            <a:t>Insert Fine Print Here</a:t>
          </a:r>
        </a:p>
      </xdr:txBody>
    </xdr:sp>
    <xdr:clientData/>
  </xdr:twoCellAnchor>
  <xdr:twoCellAnchor>
    <xdr:from>
      <xdr:col>6</xdr:col>
      <xdr:colOff>342900</xdr:colOff>
      <xdr:row>63</xdr:row>
      <xdr:rowOff>0</xdr:rowOff>
    </xdr:from>
    <xdr:to>
      <xdr:col>11</xdr:col>
      <xdr:colOff>571500</xdr:colOff>
      <xdr:row>63</xdr:row>
      <xdr:rowOff>0</xdr:rowOff>
    </xdr:to>
    <xdr:sp macro="[0]!FinePrint" fLocksText="0">
      <xdr:nvSpPr>
        <xdr:cNvPr id="20" name="Text 22"/>
        <xdr:cNvSpPr txBox="1">
          <a:spLocks noChangeArrowheads="1"/>
        </xdr:cNvSpPr>
      </xdr:nvSpPr>
      <xdr:spPr>
        <a:xfrm>
          <a:off x="2047875" y="10277475"/>
          <a:ext cx="4200525" cy="0"/>
        </a:xfrm>
        <a:prstGeom prst="rect">
          <a:avLst/>
        </a:prstGeom>
        <a:solidFill>
          <a:srgbClr val="C0C0C0"/>
        </a:solidFill>
        <a:ln w="1" cmpd="sng">
          <a:noFill/>
        </a:ln>
      </xdr:spPr>
      <xdr:txBody>
        <a:bodyPr vertOverflow="clip" wrap="square" lIns="27432" tIns="22860" rIns="27432" bIns="22860" anchor="ctr"/>
        <a:p>
          <a:pPr algn="ctr">
            <a:defRPr/>
          </a:pPr>
          <a:r>
            <a:rPr lang="en-US" cap="none" sz="1000" b="0" i="1" u="none" baseline="0">
              <a:solidFill>
                <a:srgbClr val="000000"/>
              </a:solidFill>
              <a:latin typeface="Arial"/>
              <a:ea typeface="Arial"/>
              <a:cs typeface="Arial"/>
            </a:rPr>
            <a:t>Insert Fine Print Here</a:t>
          </a:r>
        </a:p>
      </xdr:txBody>
    </xdr:sp>
    <xdr:clientData/>
  </xdr:twoCellAnchor>
  <xdr:twoCellAnchor>
    <xdr:from>
      <xdr:col>6</xdr:col>
      <xdr:colOff>342900</xdr:colOff>
      <xdr:row>63</xdr:row>
      <xdr:rowOff>0</xdr:rowOff>
    </xdr:from>
    <xdr:to>
      <xdr:col>11</xdr:col>
      <xdr:colOff>571500</xdr:colOff>
      <xdr:row>63</xdr:row>
      <xdr:rowOff>0</xdr:rowOff>
    </xdr:to>
    <xdr:sp macro="[0]!FinePrint" fLocksText="0">
      <xdr:nvSpPr>
        <xdr:cNvPr id="21" name="Text 23"/>
        <xdr:cNvSpPr txBox="1">
          <a:spLocks noChangeArrowheads="1"/>
        </xdr:cNvSpPr>
      </xdr:nvSpPr>
      <xdr:spPr>
        <a:xfrm>
          <a:off x="2047875" y="10277475"/>
          <a:ext cx="4200525" cy="0"/>
        </a:xfrm>
        <a:prstGeom prst="rect">
          <a:avLst/>
        </a:prstGeom>
        <a:solidFill>
          <a:srgbClr val="C0C0C0"/>
        </a:solidFill>
        <a:ln w="1" cmpd="sng">
          <a:noFill/>
        </a:ln>
      </xdr:spPr>
      <xdr:txBody>
        <a:bodyPr vertOverflow="clip" wrap="square" lIns="27432" tIns="22860" rIns="27432" bIns="22860" anchor="ctr"/>
        <a:p>
          <a:pPr algn="ctr">
            <a:defRPr/>
          </a:pPr>
          <a:r>
            <a:rPr lang="en-US" cap="none" sz="1000" b="0" i="1" u="none" baseline="0">
              <a:solidFill>
                <a:srgbClr val="000000"/>
              </a:solidFill>
              <a:latin typeface="Arial"/>
              <a:ea typeface="Arial"/>
              <a:cs typeface="Arial"/>
            </a:rPr>
            <a:t>Insert Fine Print Here</a:t>
          </a:r>
        </a:p>
      </xdr:txBody>
    </xdr:sp>
    <xdr:clientData/>
  </xdr:twoCellAnchor>
  <xdr:twoCellAnchor>
    <xdr:from>
      <xdr:col>6</xdr:col>
      <xdr:colOff>342900</xdr:colOff>
      <xdr:row>63</xdr:row>
      <xdr:rowOff>0</xdr:rowOff>
    </xdr:from>
    <xdr:to>
      <xdr:col>11</xdr:col>
      <xdr:colOff>571500</xdr:colOff>
      <xdr:row>63</xdr:row>
      <xdr:rowOff>0</xdr:rowOff>
    </xdr:to>
    <xdr:sp macro="[0]!FinePrint" fLocksText="0">
      <xdr:nvSpPr>
        <xdr:cNvPr id="22" name="Text 24"/>
        <xdr:cNvSpPr txBox="1">
          <a:spLocks noChangeArrowheads="1"/>
        </xdr:cNvSpPr>
      </xdr:nvSpPr>
      <xdr:spPr>
        <a:xfrm>
          <a:off x="2047875" y="10277475"/>
          <a:ext cx="4200525" cy="0"/>
        </a:xfrm>
        <a:prstGeom prst="rect">
          <a:avLst/>
        </a:prstGeom>
        <a:solidFill>
          <a:srgbClr val="C0C0C0"/>
        </a:solidFill>
        <a:ln w="1" cmpd="sng">
          <a:noFill/>
        </a:ln>
      </xdr:spPr>
      <xdr:txBody>
        <a:bodyPr vertOverflow="clip" wrap="square" lIns="27432" tIns="22860" rIns="27432" bIns="22860" anchor="ctr"/>
        <a:p>
          <a:pPr algn="ctr">
            <a:defRPr/>
          </a:pPr>
          <a:r>
            <a:rPr lang="en-US" cap="none" sz="1000" b="0" i="1" u="none" baseline="0">
              <a:solidFill>
                <a:srgbClr val="000000"/>
              </a:solidFill>
              <a:latin typeface="Arial"/>
              <a:ea typeface="Arial"/>
              <a:cs typeface="Arial"/>
            </a:rPr>
            <a:t>Insert Fine Print Here</a:t>
          </a:r>
        </a:p>
      </xdr:txBody>
    </xdr:sp>
    <xdr:clientData/>
  </xdr:twoCellAnchor>
  <xdr:twoCellAnchor>
    <xdr:from>
      <xdr:col>6</xdr:col>
      <xdr:colOff>342900</xdr:colOff>
      <xdr:row>63</xdr:row>
      <xdr:rowOff>0</xdr:rowOff>
    </xdr:from>
    <xdr:to>
      <xdr:col>11</xdr:col>
      <xdr:colOff>571500</xdr:colOff>
      <xdr:row>63</xdr:row>
      <xdr:rowOff>0</xdr:rowOff>
    </xdr:to>
    <xdr:sp macro="[0]!FinePrint" fLocksText="0">
      <xdr:nvSpPr>
        <xdr:cNvPr id="23" name="Text 25"/>
        <xdr:cNvSpPr txBox="1">
          <a:spLocks noChangeArrowheads="1"/>
        </xdr:cNvSpPr>
      </xdr:nvSpPr>
      <xdr:spPr>
        <a:xfrm>
          <a:off x="2047875" y="10277475"/>
          <a:ext cx="4200525" cy="0"/>
        </a:xfrm>
        <a:prstGeom prst="rect">
          <a:avLst/>
        </a:prstGeom>
        <a:solidFill>
          <a:srgbClr val="C0C0C0"/>
        </a:solidFill>
        <a:ln w="1" cmpd="sng">
          <a:noFill/>
        </a:ln>
      </xdr:spPr>
      <xdr:txBody>
        <a:bodyPr vertOverflow="clip" wrap="square" lIns="27432" tIns="22860" rIns="27432" bIns="22860" anchor="ctr"/>
        <a:p>
          <a:pPr algn="ctr">
            <a:defRPr/>
          </a:pPr>
          <a:r>
            <a:rPr lang="en-US" cap="none" sz="1000" b="0" i="1" u="none" baseline="0">
              <a:solidFill>
                <a:srgbClr val="000000"/>
              </a:solidFill>
              <a:latin typeface="Arial"/>
              <a:ea typeface="Arial"/>
              <a:cs typeface="Arial"/>
            </a:rPr>
            <a:t>Insert Fine Print Here</a:t>
          </a:r>
        </a:p>
      </xdr:txBody>
    </xdr:sp>
    <xdr:clientData/>
  </xdr:twoCellAnchor>
  <xdr:twoCellAnchor>
    <xdr:from>
      <xdr:col>6</xdr:col>
      <xdr:colOff>342900</xdr:colOff>
      <xdr:row>63</xdr:row>
      <xdr:rowOff>0</xdr:rowOff>
    </xdr:from>
    <xdr:to>
      <xdr:col>11</xdr:col>
      <xdr:colOff>571500</xdr:colOff>
      <xdr:row>63</xdr:row>
      <xdr:rowOff>0</xdr:rowOff>
    </xdr:to>
    <xdr:sp macro="[0]!FinePrint" fLocksText="0">
      <xdr:nvSpPr>
        <xdr:cNvPr id="24" name="Text 26"/>
        <xdr:cNvSpPr txBox="1">
          <a:spLocks noChangeArrowheads="1"/>
        </xdr:cNvSpPr>
      </xdr:nvSpPr>
      <xdr:spPr>
        <a:xfrm>
          <a:off x="2047875" y="10277475"/>
          <a:ext cx="4200525" cy="0"/>
        </a:xfrm>
        <a:prstGeom prst="rect">
          <a:avLst/>
        </a:prstGeom>
        <a:solidFill>
          <a:srgbClr val="C0C0C0"/>
        </a:solidFill>
        <a:ln w="1" cmpd="sng">
          <a:noFill/>
        </a:ln>
      </xdr:spPr>
      <xdr:txBody>
        <a:bodyPr vertOverflow="clip" wrap="square" lIns="27432" tIns="22860" rIns="27432" bIns="22860" anchor="ctr"/>
        <a:p>
          <a:pPr algn="ctr">
            <a:defRPr/>
          </a:pPr>
          <a:r>
            <a:rPr lang="en-US" cap="none" sz="1000" b="0" i="1" u="none" baseline="0">
              <a:solidFill>
                <a:srgbClr val="000000"/>
              </a:solidFill>
              <a:latin typeface="Arial"/>
              <a:ea typeface="Arial"/>
              <a:cs typeface="Arial"/>
            </a:rPr>
            <a:t>Insert Fine Print Here</a:t>
          </a:r>
        </a:p>
      </xdr:txBody>
    </xdr:sp>
    <xdr:clientData/>
  </xdr:twoCellAnchor>
  <xdr:twoCellAnchor>
    <xdr:from>
      <xdr:col>6</xdr:col>
      <xdr:colOff>342900</xdr:colOff>
      <xdr:row>63</xdr:row>
      <xdr:rowOff>0</xdr:rowOff>
    </xdr:from>
    <xdr:to>
      <xdr:col>11</xdr:col>
      <xdr:colOff>571500</xdr:colOff>
      <xdr:row>63</xdr:row>
      <xdr:rowOff>0</xdr:rowOff>
    </xdr:to>
    <xdr:sp macro="[0]!FinePrint" fLocksText="0">
      <xdr:nvSpPr>
        <xdr:cNvPr id="25" name="Text 27"/>
        <xdr:cNvSpPr txBox="1">
          <a:spLocks noChangeArrowheads="1"/>
        </xdr:cNvSpPr>
      </xdr:nvSpPr>
      <xdr:spPr>
        <a:xfrm>
          <a:off x="2047875" y="10277475"/>
          <a:ext cx="4200525" cy="0"/>
        </a:xfrm>
        <a:prstGeom prst="rect">
          <a:avLst/>
        </a:prstGeom>
        <a:solidFill>
          <a:srgbClr val="C0C0C0"/>
        </a:solidFill>
        <a:ln w="1" cmpd="sng">
          <a:noFill/>
        </a:ln>
      </xdr:spPr>
      <xdr:txBody>
        <a:bodyPr vertOverflow="clip" wrap="square" lIns="27432" tIns="22860" rIns="27432" bIns="22860" anchor="ctr"/>
        <a:p>
          <a:pPr algn="ctr">
            <a:defRPr/>
          </a:pPr>
          <a:r>
            <a:rPr lang="en-US" cap="none" sz="1000" b="0" i="1" u="none" baseline="0">
              <a:solidFill>
                <a:srgbClr val="000000"/>
              </a:solidFill>
              <a:latin typeface="Arial"/>
              <a:ea typeface="Arial"/>
              <a:cs typeface="Arial"/>
            </a:rPr>
            <a:t>Insert Fine Print Here</a:t>
          </a:r>
        </a:p>
      </xdr:txBody>
    </xdr:sp>
    <xdr:clientData/>
  </xdr:twoCellAnchor>
  <xdr:twoCellAnchor>
    <xdr:from>
      <xdr:col>6</xdr:col>
      <xdr:colOff>342900</xdr:colOff>
      <xdr:row>63</xdr:row>
      <xdr:rowOff>0</xdr:rowOff>
    </xdr:from>
    <xdr:to>
      <xdr:col>11</xdr:col>
      <xdr:colOff>571500</xdr:colOff>
      <xdr:row>63</xdr:row>
      <xdr:rowOff>0</xdr:rowOff>
    </xdr:to>
    <xdr:sp macro="[0]!FinePrint" fLocksText="0">
      <xdr:nvSpPr>
        <xdr:cNvPr id="26" name="Text 28"/>
        <xdr:cNvSpPr txBox="1">
          <a:spLocks noChangeArrowheads="1"/>
        </xdr:cNvSpPr>
      </xdr:nvSpPr>
      <xdr:spPr>
        <a:xfrm>
          <a:off x="2047875" y="10277475"/>
          <a:ext cx="4200525" cy="0"/>
        </a:xfrm>
        <a:prstGeom prst="rect">
          <a:avLst/>
        </a:prstGeom>
        <a:solidFill>
          <a:srgbClr val="C0C0C0"/>
        </a:solidFill>
        <a:ln w="1" cmpd="sng">
          <a:noFill/>
        </a:ln>
      </xdr:spPr>
      <xdr:txBody>
        <a:bodyPr vertOverflow="clip" wrap="square" lIns="27432" tIns="22860" rIns="27432" bIns="22860" anchor="ctr"/>
        <a:p>
          <a:pPr algn="ctr">
            <a:defRPr/>
          </a:pPr>
          <a:r>
            <a:rPr lang="en-US" cap="none" sz="1000" b="0" i="1" u="none" baseline="0">
              <a:solidFill>
                <a:srgbClr val="000000"/>
              </a:solidFill>
              <a:latin typeface="Arial"/>
              <a:ea typeface="Arial"/>
              <a:cs typeface="Arial"/>
            </a:rPr>
            <a:t>Insert Fine Print Here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2</xdr:row>
      <xdr:rowOff>57150</xdr:rowOff>
    </xdr:from>
    <xdr:to>
      <xdr:col>10</xdr:col>
      <xdr:colOff>142875</xdr:colOff>
      <xdr:row>7</xdr:row>
      <xdr:rowOff>104775</xdr:rowOff>
    </xdr:to>
    <xdr:sp macro="[0]!Nada">
      <xdr:nvSpPr>
        <xdr:cNvPr id="1" name="LT"/>
        <xdr:cNvSpPr txBox="1">
          <a:spLocks noChangeArrowheads="1"/>
        </xdr:cNvSpPr>
      </xdr:nvSpPr>
      <xdr:spPr>
        <a:xfrm>
          <a:off x="1314450" y="238125"/>
          <a:ext cx="3457575" cy="857250"/>
        </a:xfrm>
        <a:prstGeom prst="rect">
          <a:avLst/>
        </a:prstGeom>
        <a:solidFill>
          <a:srgbClr val="FFFFFF"/>
        </a:solidFill>
        <a:ln w="1" cmpd="sng">
          <a:noFill/>
        </a:ln>
      </xdr:spPr>
      <xdr:txBody>
        <a:bodyPr vertOverflow="clip" wrap="square" lIns="45720" tIns="36576" rIns="0" bIns="0"/>
        <a:p>
          <a:pPr algn="l">
            <a:defRPr/>
          </a:pPr>
          <a:r>
            <a:rPr lang="en-US" cap="none" sz="2000" b="0" i="0" u="none" baseline="0">
              <a:solidFill>
                <a:srgbClr val="000000"/>
              </a:solidFill>
              <a:latin typeface="Arial"/>
              <a:ea typeface="Arial"/>
              <a:cs typeface="Arial"/>
            </a:rPr>
            <a:t>FAMILY NAME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Family Address
</a:t>
          </a:r>
          <a:r>
            <a:rPr lang="en-US" cap="none" sz="1000" b="0" i="0" u="none" baseline="0">
              <a:solidFill>
                <a:srgbClr val="000000"/>
              </a:solidFill>
              <a:latin typeface="Arial"/>
              <a:ea typeface="Arial"/>
              <a:cs typeface="Arial"/>
            </a:rPr>
            <a:t>City, State  ZIP Code
</a:t>
          </a:r>
          <a:r>
            <a:rPr lang="en-US" cap="none" sz="1000" b="0" i="0" u="none" baseline="0">
              <a:solidFill>
                <a:srgbClr val="000000"/>
              </a:solidFill>
              <a:latin typeface="Arial"/>
              <a:ea typeface="Arial"/>
              <a:cs typeface="Arial"/>
            </a:rPr>
            <a:t>Phone Number fax Fax Number</a:t>
          </a:r>
        </a:p>
      </xdr:txBody>
    </xdr:sp>
    <xdr:clientData/>
  </xdr:twoCellAnchor>
  <xdr:twoCellAnchor>
    <xdr:from>
      <xdr:col>3</xdr:col>
      <xdr:colOff>28575</xdr:colOff>
      <xdr:row>12</xdr:row>
      <xdr:rowOff>28575</xdr:rowOff>
    </xdr:from>
    <xdr:to>
      <xdr:col>13</xdr:col>
      <xdr:colOff>581025</xdr:colOff>
      <xdr:row>31</xdr:row>
      <xdr:rowOff>142875</xdr:rowOff>
    </xdr:to>
    <xdr:graphicFrame>
      <xdr:nvGraphicFramePr>
        <xdr:cNvPr id="2" name="SUMM"/>
        <xdr:cNvGraphicFramePr/>
      </xdr:nvGraphicFramePr>
      <xdr:xfrm>
        <a:off x="390525" y="1714500"/>
        <a:ext cx="6648450" cy="3190875"/>
      </xdr:xfrm>
      <a:graphic>
        <a:graphicData uri="http://schemas.openxmlformats.org/drawingml/2006/chart">
          <c:chart xmlns:c="http://schemas.openxmlformats.org/drawingml/2006/chart" r:id="rId1"/>
        </a:graphicData>
      </a:graphic>
    </xdr:graphicFrame>
    <xdr:clientData/>
  </xdr:twoCellAnchor>
  <xdr:twoCellAnchor>
    <xdr:from>
      <xdr:col>5</xdr:col>
      <xdr:colOff>495300</xdr:colOff>
      <xdr:row>34</xdr:row>
      <xdr:rowOff>85725</xdr:rowOff>
    </xdr:from>
    <xdr:to>
      <xdr:col>11</xdr:col>
      <xdr:colOff>447675</xdr:colOff>
      <xdr:row>37</xdr:row>
      <xdr:rowOff>66675</xdr:rowOff>
    </xdr:to>
    <xdr:sp macro="[0]!FinePrint">
      <xdr:nvSpPr>
        <xdr:cNvPr id="3" name="FP"/>
        <xdr:cNvSpPr txBox="1">
          <a:spLocks noChangeArrowheads="1"/>
        </xdr:cNvSpPr>
      </xdr:nvSpPr>
      <xdr:spPr>
        <a:xfrm>
          <a:off x="2076450" y="5219700"/>
          <a:ext cx="3609975" cy="466725"/>
        </a:xfrm>
        <a:prstGeom prst="rect">
          <a:avLst/>
        </a:prstGeom>
        <a:solidFill>
          <a:srgbClr val="C0C0C0"/>
        </a:solidFill>
        <a:ln w="1" cmpd="sng">
          <a:noFill/>
        </a:ln>
      </xdr:spPr>
      <xdr:txBody>
        <a:bodyPr vertOverflow="clip" wrap="square" lIns="27432" tIns="22860" rIns="27432" bIns="22860" anchor="ctr"/>
        <a:p>
          <a:pPr algn="ctr">
            <a:defRPr/>
          </a:pPr>
          <a:r>
            <a:rPr lang="en-US" cap="none" sz="1000" b="0" i="1" u="none" baseline="0">
              <a:solidFill>
                <a:srgbClr val="000000"/>
              </a:solidFill>
              <a:latin typeface="Arial"/>
              <a:ea typeface="Arial"/>
              <a:cs typeface="Arial"/>
            </a:rPr>
            <a:t>Insert Fine Print Here</a:t>
          </a:r>
        </a:p>
      </xdr:txBody>
    </xdr:sp>
    <xdr:clientData/>
  </xdr:twoCellAnchor>
  <xdr:twoCellAnchor>
    <xdr:from>
      <xdr:col>3</xdr:col>
      <xdr:colOff>28575</xdr:colOff>
      <xdr:row>2</xdr:row>
      <xdr:rowOff>66675</xdr:rowOff>
    </xdr:from>
    <xdr:to>
      <xdr:col>4</xdr:col>
      <xdr:colOff>266700</xdr:colOff>
      <xdr:row>7</xdr:row>
      <xdr:rowOff>104775</xdr:rowOff>
    </xdr:to>
    <xdr:sp macro="[0]!Nada">
      <xdr:nvSpPr>
        <xdr:cNvPr id="4" name="LG"/>
        <xdr:cNvSpPr txBox="1">
          <a:spLocks noChangeArrowheads="1"/>
        </xdr:cNvSpPr>
      </xdr:nvSpPr>
      <xdr:spPr>
        <a:xfrm>
          <a:off x="390525" y="247650"/>
          <a:ext cx="847725" cy="847725"/>
        </a:xfrm>
        <a:prstGeom prst="rect">
          <a:avLst/>
        </a:prstGeom>
        <a:solidFill>
          <a:srgbClr val="C0C0C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1" u="none" baseline="0">
              <a:solidFill>
                <a:srgbClr val="000000"/>
              </a:solidFill>
              <a:latin typeface="Arial"/>
              <a:ea typeface="Arial"/>
              <a:cs typeface="Arial"/>
            </a:rPr>
            <a:t>Insert
</a:t>
          </a:r>
          <a:r>
            <a:rPr lang="en-US" cap="none" sz="1000" b="0" i="1" u="none" baseline="0">
              <a:solidFill>
                <a:srgbClr val="000000"/>
              </a:solidFill>
              <a:latin typeface="Arial"/>
              <a:ea typeface="Arial"/>
              <a:cs typeface="Arial"/>
            </a:rPr>
            <a:t>Logo
</a:t>
          </a:r>
          <a:r>
            <a:rPr lang="en-US" cap="none" sz="1000" b="0" i="1" u="none" baseline="0">
              <a:solidFill>
                <a:srgbClr val="000000"/>
              </a:solidFill>
              <a:latin typeface="Arial"/>
              <a:ea typeface="Arial"/>
              <a:cs typeface="Arial"/>
            </a:rPr>
            <a:t>Here</a:t>
          </a:r>
        </a:p>
      </xdr:txBody>
    </xdr:sp>
    <xdr:clientData fPrintsWithSheet="0"/>
  </xdr:twoCellAnchor>
  <xdr:twoCellAnchor>
    <xdr:from>
      <xdr:col>9</xdr:col>
      <xdr:colOff>371475</xdr:colOff>
      <xdr:row>7</xdr:row>
      <xdr:rowOff>38100</xdr:rowOff>
    </xdr:from>
    <xdr:to>
      <xdr:col>13</xdr:col>
      <xdr:colOff>428625</xdr:colOff>
      <xdr:row>9</xdr:row>
      <xdr:rowOff>123825</xdr:rowOff>
    </xdr:to>
    <xdr:sp macro="[0]!Nada">
      <xdr:nvSpPr>
        <xdr:cNvPr id="5" name="LBL"/>
        <xdr:cNvSpPr txBox="1">
          <a:spLocks noChangeArrowheads="1"/>
        </xdr:cNvSpPr>
      </xdr:nvSpPr>
      <xdr:spPr>
        <a:xfrm>
          <a:off x="4391025" y="1028700"/>
          <a:ext cx="2495550" cy="295275"/>
        </a:xfrm>
        <a:prstGeom prst="rect">
          <a:avLst/>
        </a:prstGeom>
        <a:solidFill>
          <a:srgbClr val="FFFFFF"/>
        </a:solidFill>
        <a:ln w="1" cmpd="sng">
          <a:noFill/>
        </a:ln>
      </xdr:spPr>
      <xdr:txBody>
        <a:bodyPr vertOverflow="clip" wrap="square" lIns="45720" tIns="36576" rIns="45720" bIns="36576" anchor="ctr"/>
        <a:p>
          <a:pPr algn="ctr">
            <a:defRPr/>
          </a:pPr>
          <a:r>
            <a:rPr lang="en-US" cap="none" sz="1800" b="1" i="1" u="none" baseline="0">
              <a:solidFill>
                <a:srgbClr val="000000"/>
              </a:solidFill>
              <a:latin typeface="Arial"/>
              <a:ea typeface="Arial"/>
              <a:cs typeface="Arial"/>
            </a:rPr>
            <a:t>SUMMARY GRAPH</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0</xdr:colOff>
      <xdr:row>10</xdr:row>
      <xdr:rowOff>19050</xdr:rowOff>
    </xdr:from>
    <xdr:to>
      <xdr:col>69</xdr:col>
      <xdr:colOff>0</xdr:colOff>
      <xdr:row>17</xdr:row>
      <xdr:rowOff>57150</xdr:rowOff>
    </xdr:to>
    <xdr:sp fLocksText="0">
      <xdr:nvSpPr>
        <xdr:cNvPr id="1" name="PNL1_TXT1"/>
        <xdr:cNvSpPr txBox="1">
          <a:spLocks noChangeArrowheads="1"/>
        </xdr:cNvSpPr>
      </xdr:nvSpPr>
      <xdr:spPr>
        <a:xfrm>
          <a:off x="2867025" y="685800"/>
          <a:ext cx="1733550" cy="504825"/>
        </a:xfrm>
        <a:prstGeom prst="rect">
          <a:avLst/>
        </a:prstGeom>
        <a:noFill/>
        <a:ln w="1" cmpd="sng">
          <a:noFill/>
        </a:ln>
      </xdr:spPr>
      <xdr:txBody>
        <a:bodyPr vertOverflow="clip" wrap="square"/>
        <a:p>
          <a:pPr algn="l">
            <a:defRPr/>
          </a:pPr>
          <a:r>
            <a:rPr lang="en-US" cap="none" sz="800" b="0" i="0" u="none" baseline="0">
              <a:latin typeface="Arial"/>
              <a:ea typeface="Arial"/>
              <a:cs typeface="Arial"/>
            </a:rPr>
            <a:t>You can lock the information on the Customize page and save your customized version of the template.</a:t>
          </a:r>
        </a:p>
      </xdr:txBody>
    </xdr:sp>
    <xdr:clientData/>
  </xdr:twoCellAnchor>
  <xdr:twoCellAnchor editAs="oneCell">
    <xdr:from>
      <xdr:col>16</xdr:col>
      <xdr:colOff>28575</xdr:colOff>
      <xdr:row>9</xdr:row>
      <xdr:rowOff>9525</xdr:rowOff>
    </xdr:from>
    <xdr:to>
      <xdr:col>42</xdr:col>
      <xdr:colOff>9525</xdr:colOff>
      <xdr:row>27</xdr:row>
      <xdr:rowOff>0</xdr:rowOff>
    </xdr:to>
    <xdr:pic>
      <xdr:nvPicPr>
        <xdr:cNvPr id="2" name="LCK_PIC"/>
        <xdr:cNvPicPr preferRelativeResize="1">
          <a:picLocks noChangeAspect="1"/>
        </xdr:cNvPicPr>
      </xdr:nvPicPr>
      <xdr:blipFill>
        <a:blip r:embed="rId1"/>
        <a:stretch>
          <a:fillRect/>
        </a:stretch>
      </xdr:blipFill>
      <xdr:spPr>
        <a:xfrm>
          <a:off x="1095375" y="609600"/>
          <a:ext cx="1714500" cy="1190625"/>
        </a:xfrm>
        <a:prstGeom prst="rect">
          <a:avLst/>
        </a:prstGeom>
        <a:noFill/>
        <a:ln w="1"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0</xdr:colOff>
      <xdr:row>23</xdr:row>
      <xdr:rowOff>0</xdr:rowOff>
    </xdr:from>
    <xdr:to>
      <xdr:col>64</xdr:col>
      <xdr:colOff>0</xdr:colOff>
      <xdr:row>26</xdr:row>
      <xdr:rowOff>0</xdr:rowOff>
    </xdr:to>
    <xdr:sp>
      <xdr:nvSpPr>
        <xdr:cNvPr id="1" name="PNL1_TXT2"/>
        <xdr:cNvSpPr txBox="1">
          <a:spLocks noChangeArrowheads="1"/>
        </xdr:cNvSpPr>
      </xdr:nvSpPr>
      <xdr:spPr>
        <a:xfrm>
          <a:off x="2933700" y="1533525"/>
          <a:ext cx="1333500" cy="200025"/>
        </a:xfrm>
        <a:prstGeom prst="rect">
          <a:avLst/>
        </a:prstGeom>
        <a:noFill/>
        <a:ln w="1" cmpd="sng">
          <a:noFill/>
        </a:ln>
      </xdr:spPr>
      <xdr:txBody>
        <a:bodyPr vertOverflow="clip" wrap="square"/>
        <a:p>
          <a:pPr algn="l">
            <a:defRPr/>
          </a:pPr>
          <a:r>
            <a:rPr lang="en-US" cap="none" sz="800" b="0" i="0" u="none" baseline="0">
              <a:latin typeface="Arial"/>
              <a:ea typeface="Arial"/>
              <a:cs typeface="Arial"/>
            </a:rPr>
            <a:t>Period of Prepayment</a:t>
          </a:r>
        </a:p>
      </xdr:txBody>
    </xdr:sp>
    <xdr:clientData/>
  </xdr:twoCellAnchor>
  <xdr:twoCellAnchor>
    <xdr:from>
      <xdr:col>47</xdr:col>
      <xdr:colOff>19050</xdr:colOff>
      <xdr:row>11</xdr:row>
      <xdr:rowOff>0</xdr:rowOff>
    </xdr:from>
    <xdr:to>
      <xdr:col>74</xdr:col>
      <xdr:colOff>19050</xdr:colOff>
      <xdr:row>20</xdr:row>
      <xdr:rowOff>0</xdr:rowOff>
    </xdr:to>
    <xdr:sp>
      <xdr:nvSpPr>
        <xdr:cNvPr id="2" name="PNL1_TXT1"/>
        <xdr:cNvSpPr txBox="1">
          <a:spLocks noChangeArrowheads="1"/>
        </xdr:cNvSpPr>
      </xdr:nvSpPr>
      <xdr:spPr>
        <a:xfrm>
          <a:off x="3152775" y="733425"/>
          <a:ext cx="1800225" cy="600075"/>
        </a:xfrm>
        <a:prstGeom prst="rect">
          <a:avLst/>
        </a:prstGeom>
        <a:noFill/>
        <a:ln w="1" cmpd="sng">
          <a:noFill/>
        </a:ln>
      </xdr:spPr>
      <xdr:txBody>
        <a:bodyPr vertOverflow="clip" wrap="square"/>
        <a:p>
          <a:pPr algn="ctr">
            <a:defRPr/>
          </a:pPr>
          <a:r>
            <a:rPr lang="en-US" cap="none" sz="800" b="0" i="0" u="none" baseline="0">
              <a:latin typeface="Arial"/>
              <a:ea typeface="Arial"/>
              <a:cs typeface="Arial"/>
            </a:rPr>
            <a:t>To make an accelerated payment of your loan's principal, simply enter the period when the payment will be made and the amount of the payment (in $).</a:t>
          </a:r>
        </a:p>
      </xdr:txBody>
    </xdr:sp>
    <xdr:clientData/>
  </xdr:twoCellAnchor>
  <xdr:twoCellAnchor>
    <xdr:from>
      <xdr:col>65</xdr:col>
      <xdr:colOff>0</xdr:colOff>
      <xdr:row>23</xdr:row>
      <xdr:rowOff>0</xdr:rowOff>
    </xdr:from>
    <xdr:to>
      <xdr:col>74</xdr:col>
      <xdr:colOff>0</xdr:colOff>
      <xdr:row>25</xdr:row>
      <xdr:rowOff>38100</xdr:rowOff>
    </xdr:to>
    <xdr:sp fLocksText="0">
      <xdr:nvSpPr>
        <xdr:cNvPr id="3" name="PNL1_EDT1"/>
        <xdr:cNvSpPr txBox="1">
          <a:spLocks noChangeArrowheads="1"/>
        </xdr:cNvSpPr>
      </xdr:nvSpPr>
      <xdr:spPr>
        <a:xfrm>
          <a:off x="4333875" y="1533525"/>
          <a:ext cx="60007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77</a:t>
          </a:r>
        </a:p>
      </xdr:txBody>
    </xdr:sp>
    <xdr:clientData/>
  </xdr:twoCellAnchor>
  <xdr:twoCellAnchor>
    <xdr:from>
      <xdr:col>44</xdr:col>
      <xdr:colOff>0</xdr:colOff>
      <xdr:row>27</xdr:row>
      <xdr:rowOff>0</xdr:rowOff>
    </xdr:from>
    <xdr:to>
      <xdr:col>62</xdr:col>
      <xdr:colOff>0</xdr:colOff>
      <xdr:row>29</xdr:row>
      <xdr:rowOff>0</xdr:rowOff>
    </xdr:to>
    <xdr:sp>
      <xdr:nvSpPr>
        <xdr:cNvPr id="4" name="PNL1_TXT3"/>
        <xdr:cNvSpPr txBox="1">
          <a:spLocks noChangeArrowheads="1"/>
        </xdr:cNvSpPr>
      </xdr:nvSpPr>
      <xdr:spPr>
        <a:xfrm>
          <a:off x="2933700" y="1800225"/>
          <a:ext cx="1200150" cy="133350"/>
        </a:xfrm>
        <a:prstGeom prst="rect">
          <a:avLst/>
        </a:prstGeom>
        <a:noFill/>
        <a:ln w="1" cmpd="sng">
          <a:noFill/>
        </a:ln>
      </xdr:spPr>
      <xdr:txBody>
        <a:bodyPr vertOverflow="clip" wrap="square"/>
        <a:p>
          <a:pPr algn="l">
            <a:defRPr/>
          </a:pPr>
          <a:r>
            <a:rPr lang="en-US" cap="none" sz="800" b="0" i="0" u="none" baseline="0">
              <a:latin typeface="Arial"/>
              <a:ea typeface="Arial"/>
              <a:cs typeface="Arial"/>
            </a:rPr>
            <a:t>Amount of Prepayment</a:t>
          </a:r>
        </a:p>
      </xdr:txBody>
    </xdr:sp>
    <xdr:clientData/>
  </xdr:twoCellAnchor>
  <xdr:twoCellAnchor>
    <xdr:from>
      <xdr:col>65</xdr:col>
      <xdr:colOff>0</xdr:colOff>
      <xdr:row>27</xdr:row>
      <xdr:rowOff>0</xdr:rowOff>
    </xdr:from>
    <xdr:to>
      <xdr:col>77</xdr:col>
      <xdr:colOff>0</xdr:colOff>
      <xdr:row>29</xdr:row>
      <xdr:rowOff>38100</xdr:rowOff>
    </xdr:to>
    <xdr:sp fLocksText="0">
      <xdr:nvSpPr>
        <xdr:cNvPr id="5" name="PNL1_EDT2"/>
        <xdr:cNvSpPr txBox="1">
          <a:spLocks noChangeArrowheads="1"/>
        </xdr:cNvSpPr>
      </xdr:nvSpPr>
      <xdr:spPr>
        <a:xfrm>
          <a:off x="4333875" y="1800225"/>
          <a:ext cx="8001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100</a:t>
          </a:r>
        </a:p>
      </xdr:txBody>
    </xdr:sp>
    <xdr:clientData/>
  </xdr:twoCellAnchor>
  <xdr:twoCellAnchor editAs="oneCell">
    <xdr:from>
      <xdr:col>16</xdr:col>
      <xdr:colOff>28575</xdr:colOff>
      <xdr:row>9</xdr:row>
      <xdr:rowOff>19050</xdr:rowOff>
    </xdr:from>
    <xdr:to>
      <xdr:col>41</xdr:col>
      <xdr:colOff>47625</xdr:colOff>
      <xdr:row>34</xdr:row>
      <xdr:rowOff>47625</xdr:rowOff>
    </xdr:to>
    <xdr:pic>
      <xdr:nvPicPr>
        <xdr:cNvPr id="6" name="REF_PIC"/>
        <xdr:cNvPicPr preferRelativeResize="1">
          <a:picLocks noChangeAspect="1"/>
        </xdr:cNvPicPr>
      </xdr:nvPicPr>
      <xdr:blipFill>
        <a:blip r:embed="rId1"/>
        <a:stretch>
          <a:fillRect/>
        </a:stretch>
      </xdr:blipFill>
      <xdr:spPr>
        <a:xfrm>
          <a:off x="1095375" y="619125"/>
          <a:ext cx="1685925" cy="16954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AB107"/>
  <sheetViews>
    <sheetView showGridLines="0" showRowColHeaders="0" zoomScale="90" zoomScaleNormal="90" zoomScalePageLayoutView="0" workbookViewId="0" topLeftCell="A14">
      <selection activeCell="G22" sqref="G22"/>
    </sheetView>
  </sheetViews>
  <sheetFormatPr defaultColWidth="9.140625" defaultRowHeight="12.75"/>
  <cols>
    <col min="1" max="1" width="1.28515625" style="0" customWidth="1"/>
    <col min="2" max="2" width="0.42578125" style="0" customWidth="1"/>
    <col min="3" max="4" width="3.7109375" style="0" customWidth="1"/>
    <col min="5" max="5" width="18.7109375" style="0" customWidth="1"/>
    <col min="6" max="6" width="30.7109375" style="0" customWidth="1"/>
    <col min="7" max="7" width="18.7109375" style="0" customWidth="1"/>
    <col min="8" max="8" width="30.7109375" style="0" customWidth="1"/>
    <col min="9" max="10" width="3.7109375" style="0" customWidth="1"/>
    <col min="11" max="11" width="0.42578125" style="0" customWidth="1"/>
  </cols>
  <sheetData>
    <row r="1" spans="1:28" ht="13.5" thickBot="1">
      <c r="A1" s="7"/>
      <c r="B1" s="7"/>
      <c r="C1" s="7"/>
      <c r="D1" s="7"/>
      <c r="E1" s="7"/>
      <c r="F1" s="7"/>
      <c r="G1" s="7"/>
      <c r="H1" s="7"/>
      <c r="I1" s="7"/>
      <c r="J1" s="7"/>
      <c r="K1" s="7"/>
      <c r="L1" s="7"/>
      <c r="M1" s="7"/>
      <c r="N1" s="7"/>
      <c r="O1" s="7"/>
      <c r="P1" s="7"/>
      <c r="Q1" s="7"/>
      <c r="R1" s="7"/>
      <c r="S1" s="7"/>
      <c r="T1" s="7"/>
      <c r="U1" s="7"/>
      <c r="V1" s="7"/>
      <c r="W1" s="7"/>
      <c r="X1" s="7"/>
      <c r="Y1" s="7"/>
      <c r="Z1" s="7"/>
      <c r="AA1" s="7"/>
      <c r="AB1" s="7"/>
    </row>
    <row r="2" spans="1:28" ht="0.75" customHeight="1" thickTop="1">
      <c r="A2" s="7"/>
      <c r="B2" s="76"/>
      <c r="C2" s="77"/>
      <c r="D2" s="77"/>
      <c r="E2" s="77"/>
      <c r="F2" s="77"/>
      <c r="G2" s="77"/>
      <c r="H2" s="77"/>
      <c r="I2" s="77"/>
      <c r="J2" s="77"/>
      <c r="K2" s="78"/>
      <c r="L2" s="7"/>
      <c r="M2" s="7"/>
      <c r="N2" s="7"/>
      <c r="O2" s="7"/>
      <c r="P2" s="7"/>
      <c r="Q2" s="7"/>
      <c r="R2" s="7"/>
      <c r="S2" s="7"/>
      <c r="T2" s="7"/>
      <c r="U2" s="7"/>
      <c r="V2" s="7"/>
      <c r="W2" s="7"/>
      <c r="X2" s="7"/>
      <c r="Y2" s="7"/>
      <c r="Z2" s="7"/>
      <c r="AA2" s="7"/>
      <c r="AB2" s="7"/>
    </row>
    <row r="3" spans="1:28" ht="12.75">
      <c r="A3" s="7"/>
      <c r="B3" s="79"/>
      <c r="C3" s="80"/>
      <c r="D3" s="80"/>
      <c r="E3" s="80"/>
      <c r="F3" s="80"/>
      <c r="G3" s="80"/>
      <c r="H3" s="80"/>
      <c r="I3" s="80"/>
      <c r="J3" s="80"/>
      <c r="K3" s="81"/>
      <c r="L3" s="7"/>
      <c r="M3" s="7"/>
      <c r="N3" s="7"/>
      <c r="O3" s="7"/>
      <c r="P3" s="7"/>
      <c r="Q3" s="7"/>
      <c r="R3" s="7"/>
      <c r="S3" s="7"/>
      <c r="T3" s="7"/>
      <c r="U3" s="7"/>
      <c r="V3" s="7"/>
      <c r="W3" s="7"/>
      <c r="X3" s="7"/>
      <c r="Y3" s="7"/>
      <c r="Z3" s="7"/>
      <c r="AA3" s="7"/>
      <c r="AB3" s="7"/>
    </row>
    <row r="4" spans="1:28" ht="13.5" thickBot="1">
      <c r="A4" s="7"/>
      <c r="B4" s="79"/>
      <c r="C4" s="80"/>
      <c r="D4" s="80"/>
      <c r="E4" s="80"/>
      <c r="F4" s="80"/>
      <c r="G4" s="80"/>
      <c r="H4" s="80"/>
      <c r="I4" s="80"/>
      <c r="J4" s="80"/>
      <c r="K4" s="81"/>
      <c r="L4" s="7"/>
      <c r="M4" s="7"/>
      <c r="N4" s="7"/>
      <c r="O4" s="7"/>
      <c r="P4" s="7"/>
      <c r="Q4" s="7"/>
      <c r="R4" s="7"/>
      <c r="S4" s="7"/>
      <c r="T4" s="7"/>
      <c r="U4" s="7"/>
      <c r="V4" s="7"/>
      <c r="W4" s="7"/>
      <c r="X4" s="7"/>
      <c r="Y4" s="7"/>
      <c r="Z4" s="7"/>
      <c r="AA4" s="7"/>
      <c r="AB4" s="7"/>
    </row>
    <row r="5" spans="1:28" ht="3" customHeight="1" thickTop="1">
      <c r="A5" s="7"/>
      <c r="B5" s="82"/>
      <c r="C5" s="83"/>
      <c r="D5" s="83"/>
      <c r="E5" s="83"/>
      <c r="F5" s="83"/>
      <c r="G5" s="83"/>
      <c r="H5" s="83"/>
      <c r="I5" s="83"/>
      <c r="J5" s="83"/>
      <c r="K5" s="84"/>
      <c r="L5" s="7"/>
      <c r="M5" s="7"/>
      <c r="N5" s="7"/>
      <c r="O5" s="7"/>
      <c r="P5" s="7"/>
      <c r="Q5" s="7"/>
      <c r="R5" s="7"/>
      <c r="S5" s="7"/>
      <c r="T5" s="7"/>
      <c r="U5" s="7"/>
      <c r="V5" s="7"/>
      <c r="W5" s="7"/>
      <c r="X5" s="7"/>
      <c r="Y5" s="7"/>
      <c r="Z5" s="7"/>
      <c r="AA5" s="7"/>
      <c r="AB5" s="7"/>
    </row>
    <row r="6" spans="1:28" ht="12.75">
      <c r="A6" s="7"/>
      <c r="B6" s="85"/>
      <c r="C6" s="86"/>
      <c r="D6" s="86"/>
      <c r="E6" s="86"/>
      <c r="F6" s="86"/>
      <c r="G6" s="86"/>
      <c r="H6" s="86"/>
      <c r="I6" s="86"/>
      <c r="J6" s="86"/>
      <c r="K6" s="87"/>
      <c r="L6" s="7"/>
      <c r="M6" s="7"/>
      <c r="N6" s="7"/>
      <c r="O6" s="7"/>
      <c r="P6" s="7"/>
      <c r="Q6" s="7"/>
      <c r="R6" s="7"/>
      <c r="S6" s="7"/>
      <c r="T6" s="7"/>
      <c r="U6" s="7"/>
      <c r="V6" s="7"/>
      <c r="W6" s="7"/>
      <c r="X6" s="7"/>
      <c r="Y6" s="7"/>
      <c r="Z6" s="7"/>
      <c r="AA6" s="7"/>
      <c r="AB6" s="7"/>
    </row>
    <row r="7" spans="1:28" ht="12.75">
      <c r="A7" s="7"/>
      <c r="B7" s="85"/>
      <c r="C7" s="86"/>
      <c r="D7" s="86"/>
      <c r="E7" s="86"/>
      <c r="F7" s="86"/>
      <c r="G7" s="86"/>
      <c r="H7" s="88" t="s">
        <v>0</v>
      </c>
      <c r="I7" s="86"/>
      <c r="J7" s="86"/>
      <c r="K7" s="87"/>
      <c r="L7" s="7"/>
      <c r="M7" s="7"/>
      <c r="N7" s="7"/>
      <c r="O7" s="7"/>
      <c r="P7" s="7"/>
      <c r="Q7" s="7"/>
      <c r="R7" s="7"/>
      <c r="S7" s="7"/>
      <c r="T7" s="7"/>
      <c r="U7" s="7"/>
      <c r="V7" s="7"/>
      <c r="W7" s="7"/>
      <c r="X7" s="7"/>
      <c r="Y7" s="7"/>
      <c r="Z7" s="7"/>
      <c r="AA7" s="7"/>
      <c r="AB7" s="7"/>
    </row>
    <row r="8" spans="1:28" ht="12.75">
      <c r="A8" s="7"/>
      <c r="B8" s="85"/>
      <c r="C8" s="86"/>
      <c r="D8" s="86"/>
      <c r="E8" s="86"/>
      <c r="F8" s="86"/>
      <c r="G8" s="86"/>
      <c r="H8" s="88" t="s">
        <v>1</v>
      </c>
      <c r="I8" s="86"/>
      <c r="J8" s="86"/>
      <c r="K8" s="87"/>
      <c r="L8" s="7"/>
      <c r="M8" s="7"/>
      <c r="N8" s="7"/>
      <c r="O8" s="7"/>
      <c r="P8" s="7"/>
      <c r="Q8" s="7"/>
      <c r="R8" s="7"/>
      <c r="S8" s="7"/>
      <c r="T8" s="7"/>
      <c r="U8" s="7"/>
      <c r="V8" s="7"/>
      <c r="W8" s="7"/>
      <c r="X8" s="7"/>
      <c r="Y8" s="7"/>
      <c r="Z8" s="7"/>
      <c r="AA8" s="7"/>
      <c r="AB8" s="7"/>
    </row>
    <row r="9" spans="1:28" ht="12.75">
      <c r="A9" s="7"/>
      <c r="B9" s="85"/>
      <c r="C9" s="86"/>
      <c r="D9" s="86"/>
      <c r="E9" s="86"/>
      <c r="F9" s="86"/>
      <c r="G9" s="86"/>
      <c r="H9" s="86"/>
      <c r="I9" s="86"/>
      <c r="J9" s="86"/>
      <c r="K9" s="87"/>
      <c r="L9" s="7"/>
      <c r="M9" s="7"/>
      <c r="N9" s="7"/>
      <c r="O9" s="7"/>
      <c r="P9" s="7"/>
      <c r="Q9" s="7"/>
      <c r="R9" s="7"/>
      <c r="S9" s="7"/>
      <c r="T9" s="7"/>
      <c r="U9" s="7"/>
      <c r="V9" s="7"/>
      <c r="W9" s="7"/>
      <c r="X9" s="7"/>
      <c r="Y9" s="7"/>
      <c r="Z9" s="7"/>
      <c r="AA9" s="7"/>
      <c r="AB9" s="7"/>
    </row>
    <row r="10" spans="1:28" ht="13.5" thickBot="1">
      <c r="A10" s="7"/>
      <c r="B10" s="85"/>
      <c r="C10" s="86"/>
      <c r="D10" s="89" t="s">
        <v>2</v>
      </c>
      <c r="E10" s="86"/>
      <c r="F10" s="86"/>
      <c r="G10" s="86"/>
      <c r="H10" s="86"/>
      <c r="I10" s="86"/>
      <c r="J10" s="86"/>
      <c r="K10" s="87"/>
      <c r="L10" s="7"/>
      <c r="M10" s="7"/>
      <c r="N10" s="7"/>
      <c r="O10" s="7"/>
      <c r="P10" s="7"/>
      <c r="Q10" s="7"/>
      <c r="R10" s="7"/>
      <c r="S10" s="7"/>
      <c r="T10" s="7"/>
      <c r="U10" s="7"/>
      <c r="V10" s="7"/>
      <c r="W10" s="7"/>
      <c r="X10" s="7"/>
      <c r="Y10" s="7"/>
      <c r="Z10" s="7"/>
      <c r="AA10" s="7"/>
      <c r="AB10" s="7"/>
    </row>
    <row r="11" spans="1:28" ht="13.5" thickBot="1">
      <c r="A11" s="7"/>
      <c r="B11" s="85"/>
      <c r="C11" s="86"/>
      <c r="D11" s="90"/>
      <c r="E11" s="91"/>
      <c r="F11" s="91"/>
      <c r="G11" s="91"/>
      <c r="H11" s="91"/>
      <c r="I11" s="92"/>
      <c r="J11" s="86"/>
      <c r="K11" s="87"/>
      <c r="L11" s="7"/>
      <c r="M11" s="7"/>
      <c r="N11" s="7"/>
      <c r="O11" s="7"/>
      <c r="P11" s="7"/>
      <c r="Q11" s="7"/>
      <c r="R11" s="7"/>
      <c r="S11" s="7"/>
      <c r="T11" s="7"/>
      <c r="U11" s="7"/>
      <c r="V11" s="7"/>
      <c r="W11" s="7"/>
      <c r="X11" s="7"/>
      <c r="Y11" s="7"/>
      <c r="Z11" s="7"/>
      <c r="AA11" s="7"/>
      <c r="AB11" s="7"/>
    </row>
    <row r="12" spans="1:28" ht="12.75">
      <c r="A12" s="7"/>
      <c r="B12" s="85"/>
      <c r="C12" s="86"/>
      <c r="D12" s="93"/>
      <c r="E12" s="94" t="s">
        <v>3</v>
      </c>
      <c r="F12" s="95" t="s">
        <v>4</v>
      </c>
      <c r="G12" s="96" t="s">
        <v>5</v>
      </c>
      <c r="H12" s="95" t="s">
        <v>6</v>
      </c>
      <c r="I12" s="97"/>
      <c r="J12" s="86"/>
      <c r="K12" s="87"/>
      <c r="L12" s="7"/>
      <c r="M12" s="7"/>
      <c r="N12" s="7"/>
      <c r="O12" s="7"/>
      <c r="P12" s="7"/>
      <c r="Q12" s="7"/>
      <c r="R12" s="7"/>
      <c r="S12" s="7"/>
      <c r="T12" s="7"/>
      <c r="U12" s="7"/>
      <c r="V12" s="7"/>
      <c r="W12" s="7"/>
      <c r="X12" s="7"/>
      <c r="Y12" s="7"/>
      <c r="Z12" s="7"/>
      <c r="AA12" s="7"/>
      <c r="AB12" s="7"/>
    </row>
    <row r="13" spans="1:28" ht="13.5" thickBot="1">
      <c r="A13" s="7"/>
      <c r="B13" s="85"/>
      <c r="C13" s="86"/>
      <c r="D13" s="93"/>
      <c r="E13" s="96" t="s">
        <v>7</v>
      </c>
      <c r="F13" s="98" t="s">
        <v>8</v>
      </c>
      <c r="G13" s="96" t="s">
        <v>9</v>
      </c>
      <c r="H13" s="99" t="s">
        <v>10</v>
      </c>
      <c r="I13" s="97"/>
      <c r="J13" s="86"/>
      <c r="K13" s="87"/>
      <c r="L13" s="7"/>
      <c r="M13" s="7"/>
      <c r="N13" s="7"/>
      <c r="O13" s="7"/>
      <c r="P13" s="7"/>
      <c r="Q13" s="7"/>
      <c r="R13" s="7"/>
      <c r="S13" s="7"/>
      <c r="T13" s="7"/>
      <c r="U13" s="7"/>
      <c r="V13" s="7"/>
      <c r="W13" s="7"/>
      <c r="X13" s="7"/>
      <c r="Y13" s="7"/>
      <c r="Z13" s="7"/>
      <c r="AA13" s="7"/>
      <c r="AB13" s="7"/>
    </row>
    <row r="14" spans="1:28" ht="12.75">
      <c r="A14" s="7"/>
      <c r="B14" s="85"/>
      <c r="C14" s="86"/>
      <c r="D14" s="93"/>
      <c r="E14" s="96" t="s">
        <v>11</v>
      </c>
      <c r="F14" s="98" t="s">
        <v>12</v>
      </c>
      <c r="G14" s="100"/>
      <c r="H14" s="100"/>
      <c r="I14" s="97"/>
      <c r="J14" s="86"/>
      <c r="K14" s="87"/>
      <c r="L14" s="7"/>
      <c r="M14" s="7"/>
      <c r="N14" s="7"/>
      <c r="O14" s="7"/>
      <c r="P14" s="7"/>
      <c r="Q14" s="7"/>
      <c r="R14" s="7"/>
      <c r="S14" s="7"/>
      <c r="T14" s="7"/>
      <c r="U14" s="7"/>
      <c r="V14" s="7"/>
      <c r="W14" s="7"/>
      <c r="X14" s="7"/>
      <c r="Y14" s="7"/>
      <c r="Z14" s="7"/>
      <c r="AA14" s="7"/>
      <c r="AB14" s="7"/>
    </row>
    <row r="15" spans="1:28" ht="12.75">
      <c r="A15" s="7"/>
      <c r="B15" s="85"/>
      <c r="C15" s="86"/>
      <c r="D15" s="93"/>
      <c r="E15" s="96" t="s">
        <v>13</v>
      </c>
      <c r="F15" s="98" t="s">
        <v>14</v>
      </c>
      <c r="G15" s="100"/>
      <c r="H15" s="100"/>
      <c r="I15" s="97"/>
      <c r="J15" s="86"/>
      <c r="K15" s="87"/>
      <c r="L15" s="7"/>
      <c r="M15" s="7"/>
      <c r="N15" s="7"/>
      <c r="O15" s="7"/>
      <c r="P15" s="7"/>
      <c r="Q15" s="7"/>
      <c r="R15" s="7"/>
      <c r="S15" s="7"/>
      <c r="T15" s="7"/>
      <c r="U15" s="7"/>
      <c r="V15" s="7"/>
      <c r="W15" s="7"/>
      <c r="X15" s="7"/>
      <c r="Y15" s="7"/>
      <c r="Z15" s="7"/>
      <c r="AA15" s="7"/>
      <c r="AB15" s="7"/>
    </row>
    <row r="16" spans="1:28" ht="13.5" thickBot="1">
      <c r="A16" s="7"/>
      <c r="B16" s="85"/>
      <c r="C16" s="86"/>
      <c r="D16" s="93"/>
      <c r="E16" s="96" t="s">
        <v>15</v>
      </c>
      <c r="F16" s="99" t="s">
        <v>16</v>
      </c>
      <c r="G16" s="100"/>
      <c r="H16" s="100"/>
      <c r="I16" s="97"/>
      <c r="J16" s="86"/>
      <c r="K16" s="87"/>
      <c r="L16" s="7"/>
      <c r="M16" s="7"/>
      <c r="N16" s="7"/>
      <c r="O16" s="7"/>
      <c r="P16" s="7"/>
      <c r="Q16" s="7"/>
      <c r="R16" s="7"/>
      <c r="S16" s="7"/>
      <c r="T16" s="7"/>
      <c r="U16" s="7"/>
      <c r="V16" s="7"/>
      <c r="W16" s="7"/>
      <c r="X16" s="7"/>
      <c r="Y16" s="7"/>
      <c r="Z16" s="7"/>
      <c r="AA16" s="7"/>
      <c r="AB16" s="7"/>
    </row>
    <row r="17" spans="1:28" ht="13.5" thickBot="1">
      <c r="A17" s="7"/>
      <c r="B17" s="85"/>
      <c r="C17" s="86"/>
      <c r="D17" s="101"/>
      <c r="E17" s="102"/>
      <c r="F17" s="102"/>
      <c r="G17" s="102"/>
      <c r="H17" s="102"/>
      <c r="I17" s="103"/>
      <c r="J17" s="86"/>
      <c r="K17" s="87"/>
      <c r="L17" s="7"/>
      <c r="M17" s="7"/>
      <c r="N17" s="7"/>
      <c r="O17" s="7"/>
      <c r="P17" s="7"/>
      <c r="Q17" s="7"/>
      <c r="R17" s="7"/>
      <c r="S17" s="7"/>
      <c r="T17" s="7"/>
      <c r="U17" s="7"/>
      <c r="V17" s="7"/>
      <c r="W17" s="7"/>
      <c r="X17" s="7"/>
      <c r="Y17" s="7"/>
      <c r="Z17" s="7"/>
      <c r="AA17" s="7"/>
      <c r="AB17" s="7"/>
    </row>
    <row r="18" spans="1:28" ht="6" customHeight="1">
      <c r="A18" s="7"/>
      <c r="B18" s="85"/>
      <c r="C18" s="86"/>
      <c r="D18" s="86"/>
      <c r="E18" s="86"/>
      <c r="F18" s="86"/>
      <c r="G18" s="86"/>
      <c r="H18" s="86"/>
      <c r="I18" s="86"/>
      <c r="J18" s="86"/>
      <c r="K18" s="87"/>
      <c r="L18" s="7"/>
      <c r="M18" s="7"/>
      <c r="N18" s="7"/>
      <c r="O18" s="7"/>
      <c r="P18" s="7"/>
      <c r="Q18" s="7"/>
      <c r="R18" s="7"/>
      <c r="S18" s="7"/>
      <c r="T18" s="7"/>
      <c r="U18" s="7"/>
      <c r="V18" s="7"/>
      <c r="W18" s="7"/>
      <c r="X18" s="7"/>
      <c r="Y18" s="7"/>
      <c r="Z18" s="7"/>
      <c r="AA18" s="7"/>
      <c r="AB18" s="7"/>
    </row>
    <row r="19" spans="1:28" ht="13.5" thickBot="1">
      <c r="A19" s="7"/>
      <c r="B19" s="85"/>
      <c r="C19" s="86"/>
      <c r="D19" s="89" t="s">
        <v>17</v>
      </c>
      <c r="E19" s="86"/>
      <c r="F19" s="86"/>
      <c r="G19" s="86"/>
      <c r="H19" s="86"/>
      <c r="I19" s="86"/>
      <c r="J19" s="86"/>
      <c r="K19" s="87"/>
      <c r="L19" s="7"/>
      <c r="M19" s="7"/>
      <c r="N19" s="7"/>
      <c r="O19" s="7"/>
      <c r="P19" s="7"/>
      <c r="Q19" s="7"/>
      <c r="R19" s="7"/>
      <c r="S19" s="7"/>
      <c r="T19" s="7"/>
      <c r="U19" s="7"/>
      <c r="V19" s="7"/>
      <c r="W19" s="7"/>
      <c r="X19" s="7"/>
      <c r="Y19" s="7"/>
      <c r="Z19" s="7"/>
      <c r="AA19" s="7"/>
      <c r="AB19" s="7"/>
    </row>
    <row r="20" spans="1:28" ht="13.5" thickBot="1">
      <c r="A20" s="7"/>
      <c r="B20" s="85"/>
      <c r="C20" s="86"/>
      <c r="D20" s="90"/>
      <c r="E20" s="91"/>
      <c r="F20" s="91"/>
      <c r="G20" s="91"/>
      <c r="H20" s="91"/>
      <c r="I20" s="92"/>
      <c r="J20" s="86"/>
      <c r="K20" s="87"/>
      <c r="L20" s="7"/>
      <c r="M20" s="7"/>
      <c r="N20" s="7"/>
      <c r="O20" s="7"/>
      <c r="P20" s="7"/>
      <c r="Q20" s="7"/>
      <c r="R20" s="7"/>
      <c r="S20" s="7"/>
      <c r="T20" s="7"/>
      <c r="U20" s="7"/>
      <c r="V20" s="7"/>
      <c r="W20" s="7"/>
      <c r="X20" s="7"/>
      <c r="Y20" s="7"/>
      <c r="Z20" s="7"/>
      <c r="AA20" s="7"/>
      <c r="AB20" s="7"/>
    </row>
    <row r="21" spans="1:28" ht="13.5" thickBot="1">
      <c r="A21" s="7"/>
      <c r="B21" s="85"/>
      <c r="C21" s="86"/>
      <c r="D21" s="93"/>
      <c r="E21" s="112" t="s">
        <v>18</v>
      </c>
      <c r="F21" s="112"/>
      <c r="G21" s="120">
        <v>360</v>
      </c>
      <c r="H21" s="100" t="s">
        <v>19</v>
      </c>
      <c r="I21" s="97"/>
      <c r="J21" s="86"/>
      <c r="K21" s="87"/>
      <c r="L21" s="7"/>
      <c r="M21" s="7"/>
      <c r="N21" s="7"/>
      <c r="O21" s="7"/>
      <c r="P21" s="7"/>
      <c r="Q21" s="7"/>
      <c r="R21" s="7"/>
      <c r="S21" s="7"/>
      <c r="T21" s="7"/>
      <c r="U21" s="7"/>
      <c r="V21" s="7"/>
      <c r="W21" s="7"/>
      <c r="X21" s="7"/>
      <c r="Y21" s="7"/>
      <c r="Z21" s="7"/>
      <c r="AA21" s="7"/>
      <c r="AB21" s="7"/>
    </row>
    <row r="22" spans="1:28" ht="12.75" customHeight="1" thickBot="1">
      <c r="A22" s="7"/>
      <c r="B22" s="85"/>
      <c r="C22" s="86"/>
      <c r="D22" s="101"/>
      <c r="E22" s="102"/>
      <c r="F22" s="102"/>
      <c r="G22" s="102"/>
      <c r="H22" s="102"/>
      <c r="I22" s="103"/>
      <c r="J22" s="86"/>
      <c r="K22" s="87"/>
      <c r="L22" s="7"/>
      <c r="M22" s="7"/>
      <c r="N22" s="7"/>
      <c r="O22" s="7"/>
      <c r="P22" s="7"/>
      <c r="Q22" s="7"/>
      <c r="R22" s="7"/>
      <c r="S22" s="7"/>
      <c r="T22" s="7"/>
      <c r="U22" s="7"/>
      <c r="V22" s="7"/>
      <c r="W22" s="7"/>
      <c r="X22" s="7"/>
      <c r="Y22" s="7"/>
      <c r="Z22" s="7"/>
      <c r="AA22" s="7"/>
      <c r="AB22" s="7"/>
    </row>
    <row r="23" spans="1:28" ht="6" customHeight="1">
      <c r="A23" s="7"/>
      <c r="B23" s="85"/>
      <c r="C23" s="86"/>
      <c r="D23" s="86"/>
      <c r="E23" s="86"/>
      <c r="F23" s="86"/>
      <c r="G23" s="86"/>
      <c r="H23" s="86"/>
      <c r="I23" s="86"/>
      <c r="J23" s="86"/>
      <c r="K23" s="87"/>
      <c r="L23" s="7"/>
      <c r="M23" s="7"/>
      <c r="N23" s="7"/>
      <c r="O23" s="7"/>
      <c r="P23" s="7"/>
      <c r="Q23" s="7"/>
      <c r="R23" s="7"/>
      <c r="S23" s="7"/>
      <c r="T23" s="7"/>
      <c r="U23" s="7"/>
      <c r="V23" s="7"/>
      <c r="W23" s="7"/>
      <c r="X23" s="7"/>
      <c r="Y23" s="7"/>
      <c r="Z23" s="7"/>
      <c r="AA23" s="7"/>
      <c r="AB23" s="7"/>
    </row>
    <row r="24" spans="1:28" ht="13.5" thickBot="1">
      <c r="A24" s="7"/>
      <c r="B24" s="85"/>
      <c r="C24" s="86"/>
      <c r="D24" s="89" t="s">
        <v>20</v>
      </c>
      <c r="E24" s="86"/>
      <c r="F24" s="86"/>
      <c r="G24" s="86"/>
      <c r="H24" s="86"/>
      <c r="I24" s="86"/>
      <c r="J24" s="86"/>
      <c r="K24" s="87"/>
      <c r="L24" s="7"/>
      <c r="M24" s="7"/>
      <c r="N24" s="7"/>
      <c r="O24" s="7"/>
      <c r="P24" s="7"/>
      <c r="Q24" s="7"/>
      <c r="R24" s="7"/>
      <c r="S24" s="7"/>
      <c r="T24" s="7"/>
      <c r="U24" s="7"/>
      <c r="V24" s="7"/>
      <c r="W24" s="7"/>
      <c r="X24" s="7"/>
      <c r="Y24" s="7"/>
      <c r="Z24" s="7"/>
      <c r="AA24" s="7"/>
      <c r="AB24" s="7"/>
    </row>
    <row r="25" spans="1:28" ht="12.75">
      <c r="A25" s="7"/>
      <c r="B25" s="85"/>
      <c r="C25" s="86"/>
      <c r="D25" s="90"/>
      <c r="E25" s="91"/>
      <c r="F25" s="91"/>
      <c r="G25" s="91"/>
      <c r="H25" s="91"/>
      <c r="I25" s="92"/>
      <c r="J25" s="86"/>
      <c r="K25" s="87"/>
      <c r="L25" s="7"/>
      <c r="M25" s="7"/>
      <c r="N25" s="7"/>
      <c r="O25" s="7"/>
      <c r="P25" s="7"/>
      <c r="Q25" s="7"/>
      <c r="R25" s="7"/>
      <c r="S25" s="7"/>
      <c r="T25" s="7"/>
      <c r="U25" s="7"/>
      <c r="V25" s="7"/>
      <c r="W25" s="7"/>
      <c r="X25" s="7"/>
      <c r="Y25" s="7"/>
      <c r="Z25" s="7"/>
      <c r="AA25" s="7"/>
      <c r="AB25" s="7"/>
    </row>
    <row r="26" spans="1:28" ht="12.75">
      <c r="A26" s="7"/>
      <c r="B26" s="85"/>
      <c r="C26" s="86"/>
      <c r="D26" s="93"/>
      <c r="E26" s="100"/>
      <c r="F26" s="100"/>
      <c r="G26" s="100"/>
      <c r="H26" s="100"/>
      <c r="I26" s="97"/>
      <c r="J26" s="86"/>
      <c r="K26" s="87"/>
      <c r="L26" s="7"/>
      <c r="M26" s="7"/>
      <c r="N26" s="7"/>
      <c r="O26" s="7"/>
      <c r="P26" s="7"/>
      <c r="Q26" s="7"/>
      <c r="R26" s="7"/>
      <c r="S26" s="7"/>
      <c r="T26" s="7"/>
      <c r="U26" s="7"/>
      <c r="V26" s="7"/>
      <c r="W26" s="7"/>
      <c r="X26" s="7"/>
      <c r="Y26" s="7"/>
      <c r="Z26" s="7"/>
      <c r="AA26" s="7"/>
      <c r="AB26" s="7"/>
    </row>
    <row r="27" spans="1:28" ht="12.75">
      <c r="A27" s="7"/>
      <c r="B27" s="85"/>
      <c r="C27" s="86"/>
      <c r="D27" s="93"/>
      <c r="E27" s="100"/>
      <c r="F27" s="100"/>
      <c r="G27" s="100"/>
      <c r="H27" s="100"/>
      <c r="I27" s="97"/>
      <c r="J27" s="86"/>
      <c r="K27" s="87"/>
      <c r="L27" s="7"/>
      <c r="M27" s="7"/>
      <c r="N27" s="7"/>
      <c r="O27" s="7"/>
      <c r="P27" s="7"/>
      <c r="Q27" s="7"/>
      <c r="R27" s="7"/>
      <c r="S27" s="7"/>
      <c r="T27" s="7"/>
      <c r="U27" s="7"/>
      <c r="V27" s="7"/>
      <c r="W27" s="7"/>
      <c r="X27" s="7"/>
      <c r="Y27" s="7"/>
      <c r="Z27" s="7"/>
      <c r="AA27" s="7"/>
      <c r="AB27" s="7"/>
    </row>
    <row r="28" spans="1:28" ht="12.75">
      <c r="A28" s="7"/>
      <c r="B28" s="85"/>
      <c r="C28" s="86"/>
      <c r="D28" s="93"/>
      <c r="E28" s="100"/>
      <c r="F28" s="100"/>
      <c r="G28" s="100"/>
      <c r="H28" s="100"/>
      <c r="I28" s="97"/>
      <c r="J28" s="86"/>
      <c r="K28" s="87"/>
      <c r="L28" s="7"/>
      <c r="M28" s="7"/>
      <c r="N28" s="7"/>
      <c r="O28" s="7"/>
      <c r="P28" s="7"/>
      <c r="Q28" s="7"/>
      <c r="R28" s="7"/>
      <c r="S28" s="7"/>
      <c r="T28" s="7"/>
      <c r="U28" s="7"/>
      <c r="V28" s="7"/>
      <c r="W28" s="7"/>
      <c r="X28" s="7"/>
      <c r="Y28" s="7"/>
      <c r="Z28" s="7"/>
      <c r="AA28" s="7"/>
      <c r="AB28" s="7"/>
    </row>
    <row r="29" spans="1:28" ht="12.75">
      <c r="A29" s="7"/>
      <c r="B29" s="85"/>
      <c r="C29" s="86"/>
      <c r="D29" s="93"/>
      <c r="E29" s="100"/>
      <c r="F29" s="100"/>
      <c r="G29" s="100"/>
      <c r="H29" s="100"/>
      <c r="I29" s="97"/>
      <c r="J29" s="86"/>
      <c r="K29" s="87"/>
      <c r="L29" s="7"/>
      <c r="M29" s="7"/>
      <c r="N29" s="7"/>
      <c r="O29" s="7"/>
      <c r="P29" s="7"/>
      <c r="Q29" s="7"/>
      <c r="R29" s="7"/>
      <c r="S29" s="7"/>
      <c r="T29" s="7"/>
      <c r="U29" s="7"/>
      <c r="V29" s="7"/>
      <c r="W29" s="7"/>
      <c r="X29" s="7"/>
      <c r="Y29" s="7"/>
      <c r="Z29" s="7"/>
      <c r="AA29" s="7"/>
      <c r="AB29" s="7"/>
    </row>
    <row r="30" spans="1:28" ht="12.75">
      <c r="A30" s="7"/>
      <c r="B30" s="85"/>
      <c r="C30" s="86"/>
      <c r="D30" s="93"/>
      <c r="E30" s="100"/>
      <c r="F30" s="100"/>
      <c r="G30" s="100"/>
      <c r="H30" s="100"/>
      <c r="I30" s="97"/>
      <c r="J30" s="86"/>
      <c r="K30" s="87"/>
      <c r="L30" s="7"/>
      <c r="M30" s="7"/>
      <c r="N30" s="7"/>
      <c r="O30" s="7"/>
      <c r="P30" s="7"/>
      <c r="Q30" s="7"/>
      <c r="R30" s="7"/>
      <c r="S30" s="7"/>
      <c r="T30" s="7"/>
      <c r="U30" s="7"/>
      <c r="V30" s="7"/>
      <c r="W30" s="7"/>
      <c r="X30" s="7"/>
      <c r="Y30" s="7"/>
      <c r="Z30" s="7"/>
      <c r="AA30" s="7"/>
      <c r="AB30" s="7"/>
    </row>
    <row r="31" spans="1:28" ht="12.75">
      <c r="A31" s="7"/>
      <c r="B31" s="85"/>
      <c r="C31" s="86"/>
      <c r="D31" s="93"/>
      <c r="E31" s="100"/>
      <c r="F31" s="100"/>
      <c r="G31" s="100"/>
      <c r="H31" s="100"/>
      <c r="I31" s="97"/>
      <c r="J31" s="86"/>
      <c r="K31" s="87"/>
      <c r="L31" s="7"/>
      <c r="M31" s="7"/>
      <c r="N31" s="7"/>
      <c r="O31" s="7"/>
      <c r="P31" s="7"/>
      <c r="Q31" s="7"/>
      <c r="R31" s="7"/>
      <c r="S31" s="7"/>
      <c r="T31" s="7"/>
      <c r="U31" s="7"/>
      <c r="V31" s="7"/>
      <c r="W31" s="7"/>
      <c r="X31" s="7"/>
      <c r="Y31" s="7"/>
      <c r="Z31" s="7"/>
      <c r="AA31" s="7"/>
      <c r="AB31" s="7"/>
    </row>
    <row r="32" spans="1:28" ht="13.5" thickBot="1">
      <c r="A32" s="7"/>
      <c r="B32" s="85"/>
      <c r="C32" s="86"/>
      <c r="D32" s="101"/>
      <c r="E32" s="102"/>
      <c r="F32" s="102"/>
      <c r="G32" s="102"/>
      <c r="H32" s="102"/>
      <c r="I32" s="103"/>
      <c r="J32" s="86"/>
      <c r="K32" s="87"/>
      <c r="L32" s="7"/>
      <c r="M32" s="7"/>
      <c r="N32" s="7"/>
      <c r="O32" s="7"/>
      <c r="P32" s="7"/>
      <c r="Q32" s="7"/>
      <c r="R32" s="7"/>
      <c r="S32" s="7"/>
      <c r="T32" s="7"/>
      <c r="U32" s="7"/>
      <c r="V32" s="7"/>
      <c r="W32" s="7"/>
      <c r="X32" s="7"/>
      <c r="Y32" s="7"/>
      <c r="Z32" s="7"/>
      <c r="AA32" s="7"/>
      <c r="AB32" s="7"/>
    </row>
    <row r="33" spans="1:28" ht="12.75">
      <c r="A33" s="7"/>
      <c r="B33" s="85"/>
      <c r="C33" s="86"/>
      <c r="D33" s="86"/>
      <c r="E33" s="86"/>
      <c r="F33" s="86"/>
      <c r="G33" s="86"/>
      <c r="H33" s="86"/>
      <c r="I33" s="86"/>
      <c r="J33" s="86"/>
      <c r="K33" s="87"/>
      <c r="L33" s="7"/>
      <c r="M33" s="7"/>
      <c r="N33" s="7"/>
      <c r="O33" s="7"/>
      <c r="P33" s="7"/>
      <c r="Q33" s="7"/>
      <c r="R33" s="7"/>
      <c r="S33" s="7"/>
      <c r="T33" s="7"/>
      <c r="U33" s="7"/>
      <c r="V33" s="7"/>
      <c r="W33" s="7"/>
      <c r="X33" s="7"/>
      <c r="Y33" s="7"/>
      <c r="Z33" s="7"/>
      <c r="AA33" s="7"/>
      <c r="AB33" s="7"/>
    </row>
    <row r="34" spans="1:28" ht="12.75">
      <c r="A34" s="7"/>
      <c r="B34" s="85"/>
      <c r="C34" s="86"/>
      <c r="D34" s="86"/>
      <c r="E34" s="86"/>
      <c r="F34" s="86"/>
      <c r="G34" s="86"/>
      <c r="H34" s="86"/>
      <c r="I34" s="86"/>
      <c r="J34" s="86"/>
      <c r="K34" s="87"/>
      <c r="L34" s="7"/>
      <c r="M34" s="7"/>
      <c r="N34" s="7"/>
      <c r="O34" s="7"/>
      <c r="P34" s="7"/>
      <c r="Q34" s="7"/>
      <c r="R34" s="7"/>
      <c r="S34" s="7"/>
      <c r="T34" s="7"/>
      <c r="U34" s="7"/>
      <c r="V34" s="7"/>
      <c r="W34" s="7"/>
      <c r="X34" s="7"/>
      <c r="Y34" s="7"/>
      <c r="Z34" s="7"/>
      <c r="AA34" s="7"/>
      <c r="AB34" s="7"/>
    </row>
    <row r="35" spans="1:28" ht="0.75" customHeight="1" thickBot="1">
      <c r="A35" s="7"/>
      <c r="B35" s="104"/>
      <c r="C35" s="105"/>
      <c r="D35" s="105"/>
      <c r="E35" s="105"/>
      <c r="F35" s="105"/>
      <c r="G35" s="105"/>
      <c r="H35" s="105"/>
      <c r="I35" s="105"/>
      <c r="J35" s="105"/>
      <c r="K35" s="106"/>
      <c r="L35" s="7"/>
      <c r="M35" s="7"/>
      <c r="N35" s="7"/>
      <c r="O35" s="7"/>
      <c r="P35" s="7"/>
      <c r="Q35" s="7"/>
      <c r="R35" s="7"/>
      <c r="S35" s="7"/>
      <c r="T35" s="7"/>
      <c r="U35" s="7"/>
      <c r="V35" s="7"/>
      <c r="W35" s="7"/>
      <c r="X35" s="7"/>
      <c r="Y35" s="7"/>
      <c r="Z35" s="7"/>
      <c r="AA35" s="7"/>
      <c r="AB35" s="7"/>
    </row>
    <row r="36" spans="1:28" ht="13.5" thickTop="1">
      <c r="A36" s="7"/>
      <c r="B36" s="49"/>
      <c r="C36" s="49"/>
      <c r="D36" s="49"/>
      <c r="E36" s="49"/>
      <c r="F36" s="49"/>
      <c r="G36" s="49"/>
      <c r="H36" s="49"/>
      <c r="I36" s="49"/>
      <c r="J36" s="49"/>
      <c r="K36" s="49"/>
      <c r="L36" s="7"/>
      <c r="M36" s="7"/>
      <c r="N36" s="7"/>
      <c r="O36" s="7"/>
      <c r="P36" s="7"/>
      <c r="Q36" s="7"/>
      <c r="R36" s="7"/>
      <c r="S36" s="7"/>
      <c r="T36" s="7"/>
      <c r="U36" s="7"/>
      <c r="V36" s="7"/>
      <c r="W36" s="7"/>
      <c r="X36" s="7"/>
      <c r="Y36" s="7"/>
      <c r="Z36" s="7"/>
      <c r="AA36" s="7"/>
      <c r="AB36" s="7"/>
    </row>
    <row r="37" spans="1:28" ht="12.75">
      <c r="A37" s="7"/>
      <c r="B37" s="49"/>
      <c r="C37" s="49"/>
      <c r="D37" s="49"/>
      <c r="E37" s="49"/>
      <c r="F37" s="49"/>
      <c r="G37" s="49"/>
      <c r="H37" s="49"/>
      <c r="I37" s="49"/>
      <c r="J37" s="49"/>
      <c r="K37" s="49"/>
      <c r="L37" s="7"/>
      <c r="M37" s="7"/>
      <c r="N37" s="7"/>
      <c r="O37" s="7"/>
      <c r="P37" s="7"/>
      <c r="Q37" s="7"/>
      <c r="R37" s="7"/>
      <c r="S37" s="7"/>
      <c r="T37" s="7"/>
      <c r="U37" s="7"/>
      <c r="V37" s="7"/>
      <c r="W37" s="7"/>
      <c r="X37" s="7"/>
      <c r="Y37" s="7"/>
      <c r="Z37" s="7"/>
      <c r="AA37" s="7"/>
      <c r="AB37" s="7"/>
    </row>
    <row r="38" spans="1:28" ht="12.75">
      <c r="A38" s="7"/>
      <c r="B38" s="49"/>
      <c r="C38" s="49"/>
      <c r="D38" s="49"/>
      <c r="E38" s="49"/>
      <c r="F38" s="49"/>
      <c r="G38" s="49"/>
      <c r="H38" s="49"/>
      <c r="I38" s="49"/>
      <c r="J38" s="49"/>
      <c r="K38" s="49"/>
      <c r="L38" s="7"/>
      <c r="M38" s="7"/>
      <c r="N38" s="7"/>
      <c r="O38" s="7"/>
      <c r="P38" s="7"/>
      <c r="Q38" s="7"/>
      <c r="R38" s="7"/>
      <c r="S38" s="7"/>
      <c r="T38" s="7"/>
      <c r="U38" s="7"/>
      <c r="V38" s="7"/>
      <c r="W38" s="7"/>
      <c r="X38" s="7"/>
      <c r="Y38" s="7"/>
      <c r="Z38" s="7"/>
      <c r="AA38" s="7"/>
      <c r="AB38" s="7"/>
    </row>
    <row r="39" spans="1:28" ht="12.75">
      <c r="A39" s="7"/>
      <c r="B39" s="49"/>
      <c r="C39" s="49"/>
      <c r="D39" s="49"/>
      <c r="E39" s="49"/>
      <c r="F39" s="49"/>
      <c r="G39" s="49"/>
      <c r="H39" s="49"/>
      <c r="I39" s="49"/>
      <c r="J39" s="49"/>
      <c r="K39" s="49"/>
      <c r="L39" s="7"/>
      <c r="M39" s="7"/>
      <c r="N39" s="7"/>
      <c r="O39" s="7"/>
      <c r="P39" s="7"/>
      <c r="Q39" s="7"/>
      <c r="R39" s="7"/>
      <c r="S39" s="7"/>
      <c r="T39" s="7"/>
      <c r="U39" s="7"/>
      <c r="V39" s="7"/>
      <c r="W39" s="7"/>
      <c r="X39" s="7"/>
      <c r="Y39" s="7"/>
      <c r="Z39" s="7"/>
      <c r="AA39" s="7"/>
      <c r="AB39" s="7"/>
    </row>
    <row r="40" spans="1:28" ht="12.75">
      <c r="A40" s="7"/>
      <c r="B40" s="49"/>
      <c r="C40" s="49"/>
      <c r="D40" s="49"/>
      <c r="E40" s="49"/>
      <c r="F40" s="49"/>
      <c r="G40" s="49"/>
      <c r="H40" s="49"/>
      <c r="I40" s="49"/>
      <c r="J40" s="49"/>
      <c r="K40" s="49"/>
      <c r="L40" s="7"/>
      <c r="M40" s="7"/>
      <c r="N40" s="7"/>
      <c r="O40" s="7"/>
      <c r="P40" s="7"/>
      <c r="Q40" s="7"/>
      <c r="R40" s="7"/>
      <c r="S40" s="7"/>
      <c r="T40" s="7"/>
      <c r="U40" s="7"/>
      <c r="V40" s="7"/>
      <c r="W40" s="7"/>
      <c r="X40" s="7"/>
      <c r="Y40" s="7"/>
      <c r="Z40" s="7"/>
      <c r="AA40" s="7"/>
      <c r="AB40" s="7"/>
    </row>
    <row r="41" spans="1:28" ht="12.75">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row>
    <row r="42" spans="1:28" ht="12.75">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row>
    <row r="43" spans="1:28" ht="12.75">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row>
    <row r="44" spans="1:28" ht="12.75">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row>
    <row r="45" spans="1:28" ht="12.7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row>
    <row r="46" spans="1:28" ht="12.75">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row>
    <row r="47" spans="1:28" ht="12.75">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row>
    <row r="48" spans="1:28" ht="12.75">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row>
    <row r="49" spans="1:28" ht="12.75">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row>
    <row r="50" spans="1:28" ht="12.75">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row>
    <row r="51" spans="1:28" ht="12.75">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row>
    <row r="52" spans="1:28" ht="12.75">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row>
    <row r="53" spans="1:28" ht="12.75">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row>
    <row r="54" spans="1:28" ht="12.75">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row>
    <row r="55" spans="1:28" ht="12.75">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row>
    <row r="56" spans="1:28" ht="12.75">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row>
    <row r="57" spans="1:28" ht="12.75">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row>
    <row r="58" spans="1:28" ht="12.75">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row>
    <row r="59" spans="1:28" ht="12.75">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row>
    <row r="60" spans="1:28" ht="12.75">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row>
    <row r="61" spans="1:28" ht="12.75">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row>
    <row r="62" spans="1:28" ht="12.75">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row>
    <row r="63" spans="1:28" ht="12.75">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row>
    <row r="64" spans="1:28" ht="12.75">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row>
    <row r="65" spans="1:28" ht="12.75">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row>
    <row r="66" spans="1:28" ht="12.75">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row>
    <row r="67" spans="1:28" ht="12.75">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row>
    <row r="68" spans="1:28" ht="12.75">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row>
    <row r="69" spans="1:28" ht="12.75">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row>
    <row r="70" spans="1:28" ht="12.75">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row>
    <row r="71" spans="1:28" ht="12.75">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row>
    <row r="72" spans="1:28" ht="12.75">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row>
    <row r="73" spans="1:28" ht="12.75">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row>
    <row r="74" spans="1:28" ht="12.75">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row>
    <row r="75" spans="1:28" ht="12.75">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row>
    <row r="76" spans="1:28" ht="12.75">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row>
    <row r="77" spans="1:28" ht="12.75">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row>
    <row r="78" spans="1:28" ht="12.75">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row>
    <row r="79" spans="1:28" ht="12.75">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row>
    <row r="80" spans="1:28" ht="12.75">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row>
    <row r="81" spans="1:28" ht="12.75">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row>
    <row r="82" spans="1:28" ht="12.75">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row>
    <row r="83" spans="1:28" ht="12.75">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row>
    <row r="84" spans="1:28" ht="12.75">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row>
    <row r="85" spans="1:28" ht="12.75">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row>
    <row r="86" spans="1:28" ht="12.75">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row>
    <row r="87" spans="1:28" ht="12.7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row>
    <row r="88" spans="1:28" ht="12.7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row>
    <row r="89" spans="1:28" ht="12.7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row>
    <row r="90" spans="1:28" ht="12.75">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row>
    <row r="91" spans="1:28" ht="12.75">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row>
    <row r="92" spans="1:28" ht="12.75">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row>
    <row r="93" spans="1:28" ht="12.75">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row>
    <row r="94" spans="1:28" ht="12.75">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row>
    <row r="95" spans="1:28" ht="12.75">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row>
    <row r="96" spans="1:28" ht="12.75">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row>
    <row r="97" spans="1:28" ht="12.75">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row>
    <row r="98" spans="1:28" ht="12.75">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row>
    <row r="99" spans="1:28" ht="12.75">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row>
    <row r="100" spans="1:28" ht="12.75">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row>
    <row r="101" spans="1:28" ht="12.75">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row>
    <row r="102" spans="1:28" ht="12.75">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row>
    <row r="103" spans="1:28" ht="12.75">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row>
    <row r="104" spans="1:28" ht="12.75">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row>
    <row r="105" spans="1:28" ht="12.75">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row>
    <row r="106" spans="1:28" ht="12.75">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row>
    <row r="107" spans="1:28" ht="12.75">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row>
  </sheetData>
  <sheetProtection/>
  <printOptions horizontalCentered="1"/>
  <pageMargins left="0.75" right="0.75" top="1" bottom="1" header="0.5" footer="0.5"/>
  <pageSetup blackAndWhite="1" fitToHeight="1" fitToWidth="1" horizontalDpi="360" verticalDpi="360" orientation="portrait"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2:M140"/>
  <sheetViews>
    <sheetView showGridLines="0" showRowColHeaders="0" tabSelected="1" zoomScale="90" zoomScaleNormal="90" zoomScalePageLayoutView="0" workbookViewId="0" topLeftCell="A1">
      <selection activeCell="J20" sqref="J20"/>
    </sheetView>
  </sheetViews>
  <sheetFormatPr defaultColWidth="9.7109375" defaultRowHeight="12.75"/>
  <cols>
    <col min="1" max="1" width="1.28515625" style="0" customWidth="1"/>
    <col min="2" max="2" width="0.42578125" style="0" customWidth="1"/>
    <col min="3" max="4" width="3.7109375" style="0" customWidth="1"/>
    <col min="5" max="5" width="20.7109375" style="0" customWidth="1"/>
    <col min="6" max="6" width="15.7109375" style="0" customWidth="1"/>
    <col min="7" max="7" width="3.7109375" style="0" customWidth="1"/>
    <col min="8" max="8" width="20.7109375" style="0" customWidth="1"/>
    <col min="9" max="10" width="15.7109375" style="0" customWidth="1"/>
    <col min="11" max="12" width="3.7109375" style="0" customWidth="1"/>
    <col min="13" max="13" width="0.42578125" style="0" customWidth="1"/>
  </cols>
  <sheetData>
    <row r="1" ht="13.5" thickBot="1"/>
    <row r="2" spans="2:13" ht="0.75" customHeight="1" thickTop="1">
      <c r="B2" s="12"/>
      <c r="C2" s="13"/>
      <c r="D2" s="13"/>
      <c r="E2" s="24"/>
      <c r="F2" s="13"/>
      <c r="G2" s="13"/>
      <c r="H2" s="28"/>
      <c r="I2" s="29"/>
      <c r="J2" s="13"/>
      <c r="K2" s="13"/>
      <c r="L2" s="13"/>
      <c r="M2" s="14"/>
    </row>
    <row r="3" spans="2:13" ht="12.75">
      <c r="B3" s="15"/>
      <c r="C3" s="16"/>
      <c r="D3" s="16"/>
      <c r="E3" s="25"/>
      <c r="F3" s="16"/>
      <c r="G3" s="16"/>
      <c r="H3" s="21"/>
      <c r="I3" s="31"/>
      <c r="J3" s="16"/>
      <c r="K3" s="16"/>
      <c r="L3" s="16"/>
      <c r="M3" s="17"/>
    </row>
    <row r="4" spans="2:13" ht="12.75">
      <c r="B4" s="15"/>
      <c r="C4" s="16"/>
      <c r="D4" s="16"/>
      <c r="E4" s="25"/>
      <c r="F4" s="16"/>
      <c r="G4" s="16"/>
      <c r="H4" s="21"/>
      <c r="I4" s="31"/>
      <c r="J4" s="16"/>
      <c r="K4" s="16"/>
      <c r="L4" s="16"/>
      <c r="M4" s="17"/>
    </row>
    <row r="5" spans="2:13" ht="12.75">
      <c r="B5" s="15"/>
      <c r="C5" s="16"/>
      <c r="D5" s="16"/>
      <c r="E5" s="25"/>
      <c r="F5" s="16"/>
      <c r="G5" s="16"/>
      <c r="H5" s="21"/>
      <c r="I5" s="31"/>
      <c r="J5" s="16"/>
      <c r="K5" s="16"/>
      <c r="L5" s="16"/>
      <c r="M5" s="17"/>
    </row>
    <row r="6" spans="2:13" ht="12.75">
      <c r="B6" s="15"/>
      <c r="C6" s="16"/>
      <c r="D6" s="16"/>
      <c r="E6" s="25"/>
      <c r="F6" s="16"/>
      <c r="G6" s="16"/>
      <c r="H6" s="21"/>
      <c r="I6" s="31"/>
      <c r="J6" s="16"/>
      <c r="K6" s="16"/>
      <c r="L6" s="16"/>
      <c r="M6" s="17"/>
    </row>
    <row r="7" spans="2:13" ht="12.75">
      <c r="B7" s="15"/>
      <c r="C7" s="16"/>
      <c r="D7" s="16"/>
      <c r="E7" s="25"/>
      <c r="F7" s="16"/>
      <c r="G7" s="16"/>
      <c r="H7" s="21"/>
      <c r="I7" s="31"/>
      <c r="J7" s="16"/>
      <c r="K7" s="16"/>
      <c r="L7" s="16"/>
      <c r="M7" s="17"/>
    </row>
    <row r="8" spans="2:13" ht="13.5" thickBot="1">
      <c r="B8" s="15"/>
      <c r="C8" s="16"/>
      <c r="D8" s="16"/>
      <c r="E8" s="25"/>
      <c r="F8" s="16"/>
      <c r="G8" s="16"/>
      <c r="H8" s="21"/>
      <c r="I8" s="31"/>
      <c r="J8" s="16"/>
      <c r="K8" s="16"/>
      <c r="L8" s="16"/>
      <c r="M8" s="17"/>
    </row>
    <row r="9" spans="2:13" ht="3" customHeight="1" thickTop="1">
      <c r="B9" s="15"/>
      <c r="C9" s="16"/>
      <c r="D9" s="26"/>
      <c r="E9" s="26"/>
      <c r="F9" s="26"/>
      <c r="G9" s="26"/>
      <c r="H9" s="26"/>
      <c r="I9" s="26"/>
      <c r="J9" s="26"/>
      <c r="K9" s="26"/>
      <c r="L9" s="16"/>
      <c r="M9" s="17"/>
    </row>
    <row r="10" spans="2:13" ht="12.75">
      <c r="B10" s="15"/>
      <c r="C10" s="16"/>
      <c r="D10" s="16"/>
      <c r="E10" s="25"/>
      <c r="F10" s="16"/>
      <c r="G10" s="16"/>
      <c r="H10" s="21"/>
      <c r="I10" s="31"/>
      <c r="J10" s="16"/>
      <c r="K10" s="16"/>
      <c r="L10" s="16"/>
      <c r="M10" s="17"/>
    </row>
    <row r="11" spans="2:13" ht="13.5" thickBot="1">
      <c r="B11" s="15"/>
      <c r="C11" s="16"/>
      <c r="D11" s="16"/>
      <c r="E11" s="16"/>
      <c r="F11" s="16"/>
      <c r="G11" s="16"/>
      <c r="H11" s="21"/>
      <c r="I11" s="31"/>
      <c r="J11" s="16"/>
      <c r="K11" s="16"/>
      <c r="L11" s="16"/>
      <c r="M11" s="17"/>
    </row>
    <row r="12" spans="2:13" ht="12.75">
      <c r="B12" s="15"/>
      <c r="C12" s="16"/>
      <c r="D12" s="32"/>
      <c r="E12" s="33"/>
      <c r="F12" s="34"/>
      <c r="G12" s="34"/>
      <c r="H12" s="35"/>
      <c r="I12" s="36"/>
      <c r="J12" s="34"/>
      <c r="K12" s="37"/>
      <c r="L12" s="16"/>
      <c r="M12" s="17"/>
    </row>
    <row r="13" spans="2:13" ht="12.75">
      <c r="B13" s="15"/>
      <c r="C13" s="16"/>
      <c r="D13" s="38"/>
      <c r="E13" s="58" t="s">
        <v>21</v>
      </c>
      <c r="F13" s="65" t="s">
        <v>22</v>
      </c>
      <c r="G13" s="66"/>
      <c r="H13" s="113"/>
      <c r="I13" s="114"/>
      <c r="J13" s="74"/>
      <c r="K13" s="73"/>
      <c r="L13" s="16"/>
      <c r="M13" s="17"/>
    </row>
    <row r="14" spans="2:13" ht="10.5" customHeight="1">
      <c r="B14" s="15"/>
      <c r="C14" s="16"/>
      <c r="D14" s="38"/>
      <c r="E14" s="44"/>
      <c r="F14" s="44"/>
      <c r="G14" s="16"/>
      <c r="H14" s="44"/>
      <c r="I14" s="44"/>
      <c r="J14" s="16"/>
      <c r="K14" s="72"/>
      <c r="L14" s="16"/>
      <c r="M14" s="17"/>
    </row>
    <row r="15" spans="2:13" ht="12.75">
      <c r="B15" s="27"/>
      <c r="C15" s="30"/>
      <c r="D15" s="40"/>
      <c r="E15" s="46" t="s">
        <v>23</v>
      </c>
      <c r="F15" s="16"/>
      <c r="G15" s="16"/>
      <c r="H15" s="16"/>
      <c r="I15" s="16"/>
      <c r="J15" s="16"/>
      <c r="K15" s="72"/>
      <c r="L15" s="16"/>
      <c r="M15" s="17"/>
    </row>
    <row r="16" spans="2:13" ht="12.75">
      <c r="B16" s="27"/>
      <c r="C16" s="30"/>
      <c r="D16" s="40"/>
      <c r="E16" s="59" t="s">
        <v>24</v>
      </c>
      <c r="F16" s="124">
        <v>325000</v>
      </c>
      <c r="G16" s="16"/>
      <c r="H16" s="60" t="s">
        <v>25</v>
      </c>
      <c r="I16" s="71">
        <v>0.03</v>
      </c>
      <c r="J16" s="117"/>
      <c r="K16" s="72"/>
      <c r="L16" s="16"/>
      <c r="M16" s="17"/>
    </row>
    <row r="17" spans="2:13" ht="12.75">
      <c r="B17" s="27"/>
      <c r="C17" s="30"/>
      <c r="D17" s="40"/>
      <c r="E17" s="60" t="s">
        <v>26</v>
      </c>
      <c r="F17" s="75">
        <v>42675</v>
      </c>
      <c r="G17" s="16"/>
      <c r="H17" s="60" t="s">
        <v>27</v>
      </c>
      <c r="I17" s="67">
        <v>30</v>
      </c>
      <c r="J17" s="16"/>
      <c r="K17" s="39"/>
      <c r="L17" s="16"/>
      <c r="M17" s="17"/>
    </row>
    <row r="18" spans="2:13" ht="12.75" customHeight="1">
      <c r="B18" s="27"/>
      <c r="C18" s="30"/>
      <c r="D18" s="40"/>
      <c r="E18" s="44"/>
      <c r="F18" s="44"/>
      <c r="G18" s="16"/>
      <c r="H18" s="60" t="s">
        <v>28</v>
      </c>
      <c r="I18" s="67">
        <v>12</v>
      </c>
      <c r="J18" s="109">
        <v>12</v>
      </c>
      <c r="K18" s="39"/>
      <c r="L18" s="16"/>
      <c r="M18" s="17"/>
    </row>
    <row r="19" spans="2:13" ht="12.75">
      <c r="B19" s="27"/>
      <c r="C19" s="30"/>
      <c r="D19" s="40"/>
      <c r="E19" s="46" t="s">
        <v>29</v>
      </c>
      <c r="F19" s="16"/>
      <c r="G19" s="16"/>
      <c r="H19" s="16"/>
      <c r="I19" s="45"/>
      <c r="J19" s="45"/>
      <c r="K19" s="39"/>
      <c r="L19" s="16"/>
      <c r="M19" s="17"/>
    </row>
    <row r="20" spans="2:13" ht="12.75">
      <c r="B20" s="27"/>
      <c r="C20" s="30"/>
      <c r="D20" s="40"/>
      <c r="E20" s="60" t="s">
        <v>30</v>
      </c>
      <c r="F20" s="122">
        <v>360</v>
      </c>
      <c r="G20" s="16"/>
      <c r="H20" s="60" t="s">
        <v>31</v>
      </c>
      <c r="I20" s="121">
        <f>IF(AND(NUMCHECK,NOMO&gt;0),-ROUND(PMT(data3/PERYR,NOMO,F16),2),0)</f>
        <v>1370.21</v>
      </c>
      <c r="J20" s="44"/>
      <c r="K20" s="41"/>
      <c r="L20" s="22"/>
      <c r="M20" s="17"/>
    </row>
    <row r="21" spans="2:13" ht="12.75" customHeight="1">
      <c r="B21" s="27"/>
      <c r="C21" s="30"/>
      <c r="D21" s="40"/>
      <c r="E21" s="21"/>
      <c r="F21" s="57"/>
      <c r="G21" s="57"/>
      <c r="H21" s="60" t="s">
        <v>32</v>
      </c>
      <c r="I21" s="116"/>
      <c r="J21" s="123"/>
      <c r="K21" s="41"/>
      <c r="L21" s="22"/>
      <c r="M21" s="17"/>
    </row>
    <row r="22" spans="2:13" ht="12.75">
      <c r="B22" s="27"/>
      <c r="C22" s="30"/>
      <c r="D22" s="40"/>
      <c r="E22" s="46" t="s">
        <v>33</v>
      </c>
      <c r="F22" s="57"/>
      <c r="G22" s="57"/>
      <c r="H22" s="57"/>
      <c r="I22" s="57"/>
      <c r="J22" s="44"/>
      <c r="K22" s="41"/>
      <c r="L22" s="22"/>
      <c r="M22" s="17"/>
    </row>
    <row r="23" spans="2:13" ht="12.75">
      <c r="B23" s="27"/>
      <c r="C23" s="30"/>
      <c r="D23" s="40"/>
      <c r="E23" s="59" t="s">
        <v>34</v>
      </c>
      <c r="F23" s="121">
        <f>IF(dflt1&lt;NOMO,#N/A,SUM('Loan Amortization Table'!J:J))</f>
        <v>-493276.72119999805</v>
      </c>
      <c r="G23" s="16"/>
      <c r="H23" s="60" t="s">
        <v>35</v>
      </c>
      <c r="I23" s="121">
        <f>IF(dflt1&lt;NOMO,#N/A,SUM('Loan Amortization Table'!K:K))</f>
        <v>-168276.7212000001</v>
      </c>
      <c r="J23" s="44"/>
      <c r="K23" s="41"/>
      <c r="L23" s="22"/>
      <c r="M23" s="17"/>
    </row>
    <row r="24" spans="2:13" ht="12.75">
      <c r="B24" s="27"/>
      <c r="C24" s="30"/>
      <c r="D24" s="40"/>
      <c r="E24" s="55">
        <f ca="1">IF(AND(NUMCHECK,NOMO&gt;0),IF((ABS('Loan Amortization Table'!G16-AVERAGE(OFFSET('Loan Amortization Table'!G16,0,0,MIN(NOMO,dflt1))))&gt;0.00001),"Loan was refinanced during term",""),"")</f>
      </c>
      <c r="F24" s="56"/>
      <c r="G24" s="56"/>
      <c r="H24" s="56">
        <f>IF(SUM('Loan Amortization Table'!M:M),"Principal was repayed on accelerated basis","")</f>
      </c>
      <c r="I24" s="56"/>
      <c r="J24" s="44"/>
      <c r="K24" s="41"/>
      <c r="L24" s="22"/>
      <c r="M24" s="17"/>
    </row>
    <row r="25" spans="2:13" ht="12.75">
      <c r="B25" s="27"/>
      <c r="C25" s="30"/>
      <c r="D25" s="118">
        <f>IF(NOMO&lt;721,IF(dflt1&lt;NOMO,"This loan is currently too long for the Loan Amort Table.  Increase table length to obtain summary information.",""),"Please choose a loan with a total number of payments of 720 or less")</f>
      </c>
      <c r="E25" s="55"/>
      <c r="F25" s="56"/>
      <c r="G25" s="56"/>
      <c r="H25" s="56"/>
      <c r="I25" s="56"/>
      <c r="J25" s="44"/>
      <c r="K25" s="41"/>
      <c r="L25" s="22"/>
      <c r="M25" s="17"/>
    </row>
    <row r="26" spans="2:13" ht="13.5" thickBot="1">
      <c r="B26" s="15"/>
      <c r="C26" s="16"/>
      <c r="D26" s="111">
        <f>IF(NOMO&lt;721,IF(dflt1&lt;NOMO,"The loan table length can be increased to "&amp;NOMO&amp;" entries on the customize sheet",""),"")</f>
      </c>
      <c r="E26" s="42"/>
      <c r="F26" s="42"/>
      <c r="G26" s="42"/>
      <c r="H26" s="42"/>
      <c r="I26" s="42"/>
      <c r="J26" s="42"/>
      <c r="K26" s="43"/>
      <c r="L26" s="16"/>
      <c r="M26" s="17"/>
    </row>
    <row r="27" spans="2:13" ht="13.5" thickBot="1">
      <c r="B27" s="15"/>
      <c r="C27" s="16"/>
      <c r="D27" s="16"/>
      <c r="E27" s="16"/>
      <c r="F27" s="16"/>
      <c r="G27" s="16"/>
      <c r="H27" s="16"/>
      <c r="I27" s="16"/>
      <c r="J27" s="16"/>
      <c r="K27" s="16"/>
      <c r="L27" s="16"/>
      <c r="M27" s="17"/>
    </row>
    <row r="28" spans="2:13" ht="3" customHeight="1" thickTop="1">
      <c r="B28" s="15"/>
      <c r="C28" s="16"/>
      <c r="D28" s="26"/>
      <c r="E28" s="26"/>
      <c r="F28" s="26"/>
      <c r="G28" s="26"/>
      <c r="H28" s="26"/>
      <c r="I28" s="26"/>
      <c r="J28" s="26"/>
      <c r="K28" s="26"/>
      <c r="L28" s="16"/>
      <c r="M28" s="17"/>
    </row>
    <row r="29" spans="2:13" ht="12.75">
      <c r="B29" s="15"/>
      <c r="C29" s="16"/>
      <c r="D29" s="16"/>
      <c r="E29" s="16"/>
      <c r="F29" s="16"/>
      <c r="G29" s="16"/>
      <c r="H29" s="16"/>
      <c r="I29" s="16"/>
      <c r="J29" s="16"/>
      <c r="K29" s="16"/>
      <c r="L29" s="16"/>
      <c r="M29" s="17"/>
    </row>
    <row r="30" spans="2:13" ht="12.75">
      <c r="B30" s="15"/>
      <c r="C30" s="16"/>
      <c r="D30" s="16"/>
      <c r="E30" s="16"/>
      <c r="F30" s="16"/>
      <c r="G30" s="16"/>
      <c r="H30" s="16"/>
      <c r="I30" s="16"/>
      <c r="J30" s="16"/>
      <c r="K30" s="16"/>
      <c r="L30" s="16"/>
      <c r="M30" s="17"/>
    </row>
    <row r="31" spans="2:13" ht="12.75">
      <c r="B31" s="15"/>
      <c r="C31" s="16"/>
      <c r="D31" s="16"/>
      <c r="E31" s="16"/>
      <c r="F31" s="16"/>
      <c r="G31" s="16"/>
      <c r="H31" s="16"/>
      <c r="I31" s="16"/>
      <c r="J31" s="16"/>
      <c r="K31" s="16"/>
      <c r="L31" s="16"/>
      <c r="M31" s="17"/>
    </row>
    <row r="32" spans="2:13" ht="12.75">
      <c r="B32" s="15"/>
      <c r="C32" s="16"/>
      <c r="D32" s="16"/>
      <c r="E32" s="16"/>
      <c r="F32" s="16"/>
      <c r="G32" s="16"/>
      <c r="H32" s="16"/>
      <c r="I32" s="16"/>
      <c r="J32" s="16"/>
      <c r="K32" s="16"/>
      <c r="L32" s="16"/>
      <c r="M32" s="17"/>
    </row>
    <row r="33" spans="2:13" ht="0.75" customHeight="1" thickBot="1">
      <c r="B33" s="18"/>
      <c r="C33" s="19"/>
      <c r="D33" s="19"/>
      <c r="E33" s="19"/>
      <c r="F33" s="19"/>
      <c r="G33" s="19"/>
      <c r="H33" s="19"/>
      <c r="I33" s="19"/>
      <c r="J33" s="19"/>
      <c r="K33" s="19"/>
      <c r="L33" s="19"/>
      <c r="M33" s="20"/>
    </row>
    <row r="34" ht="13.5" thickTop="1"/>
    <row r="35" ht="12.75">
      <c r="E35" s="70">
        <v>1</v>
      </c>
    </row>
    <row r="36" ht="12.75">
      <c r="E36" s="70">
        <v>0</v>
      </c>
    </row>
    <row r="37" ht="12.75">
      <c r="E37" s="70" t="b">
        <v>0</v>
      </c>
    </row>
    <row r="38" ht="12.75">
      <c r="E38" s="70"/>
    </row>
    <row r="39" ht="12.75">
      <c r="E39" s="70" t="s">
        <v>36</v>
      </c>
    </row>
    <row r="58" ht="12.75">
      <c r="A58">
        <v>5</v>
      </c>
    </row>
    <row r="59" spans="1:13" ht="12.75">
      <c r="A59" s="9">
        <v>6</v>
      </c>
      <c r="B59" s="48"/>
      <c r="C59" s="48"/>
      <c r="D59" s="48"/>
      <c r="E59" s="47"/>
      <c r="F59" s="47"/>
      <c r="G59" s="47"/>
      <c r="H59" s="47"/>
      <c r="I59" s="47"/>
      <c r="J59" s="47"/>
      <c r="K59" s="47"/>
      <c r="L59" s="47"/>
      <c r="M59" s="47"/>
    </row>
    <row r="60" spans="1:13" ht="12.75">
      <c r="A60" s="9">
        <v>7</v>
      </c>
      <c r="B60" s="48"/>
      <c r="C60" s="48"/>
      <c r="D60" s="48"/>
      <c r="E60" s="47"/>
      <c r="F60" s="47"/>
      <c r="G60" s="47"/>
      <c r="H60" s="47"/>
      <c r="I60" s="47"/>
      <c r="J60" s="47"/>
      <c r="K60" s="47"/>
      <c r="L60" s="47"/>
      <c r="M60" s="47"/>
    </row>
    <row r="61" spans="1:13" ht="12.75">
      <c r="A61" s="9">
        <v>8</v>
      </c>
      <c r="B61" s="48"/>
      <c r="C61" s="48"/>
      <c r="D61" s="48"/>
      <c r="E61" s="47"/>
      <c r="F61" s="47"/>
      <c r="G61" s="47"/>
      <c r="H61" s="47"/>
      <c r="I61" s="47"/>
      <c r="J61" s="47"/>
      <c r="K61" s="47"/>
      <c r="L61" s="47"/>
      <c r="M61" s="47"/>
    </row>
    <row r="62" spans="1:13" ht="12.75">
      <c r="A62" s="9">
        <v>9</v>
      </c>
      <c r="B62" s="48"/>
      <c r="C62" s="48"/>
      <c r="D62" s="48"/>
      <c r="E62" s="47"/>
      <c r="F62" s="47"/>
      <c r="G62" s="47"/>
      <c r="H62" s="47"/>
      <c r="I62" s="47"/>
      <c r="J62" s="47"/>
      <c r="K62" s="47"/>
      <c r="L62" s="47"/>
      <c r="M62" s="47"/>
    </row>
    <row r="63" spans="1:13" ht="12.75">
      <c r="A63" s="9">
        <v>10</v>
      </c>
      <c r="B63" s="9"/>
      <c r="C63" s="9"/>
      <c r="D63" s="9"/>
      <c r="E63" s="7"/>
      <c r="F63" s="7"/>
      <c r="G63" s="7"/>
      <c r="H63" s="7"/>
      <c r="I63" s="7"/>
      <c r="J63" s="7"/>
      <c r="K63" s="7"/>
      <c r="L63" s="7"/>
      <c r="M63" s="7"/>
    </row>
    <row r="64" spans="1:13" ht="12.75">
      <c r="A64" s="9">
        <v>11</v>
      </c>
      <c r="B64" s="9"/>
      <c r="C64" s="9"/>
      <c r="D64" s="9"/>
      <c r="E64" s="7"/>
      <c r="F64" s="7"/>
      <c r="G64" s="7"/>
      <c r="H64" s="7"/>
      <c r="I64" s="7"/>
      <c r="J64" s="7"/>
      <c r="K64" s="7"/>
      <c r="L64" s="7"/>
      <c r="M64" s="7"/>
    </row>
    <row r="65" spans="1:13" ht="12.75">
      <c r="A65" s="9">
        <v>12</v>
      </c>
      <c r="B65" s="9"/>
      <c r="C65" s="9"/>
      <c r="D65" s="9"/>
      <c r="E65" s="7"/>
      <c r="F65" s="7"/>
      <c r="G65" s="7"/>
      <c r="H65" s="7"/>
      <c r="I65" s="7"/>
      <c r="J65" s="7"/>
      <c r="K65" s="7"/>
      <c r="L65" s="7"/>
      <c r="M65" s="7"/>
    </row>
    <row r="66" spans="1:13" ht="12.75">
      <c r="A66" s="7"/>
      <c r="B66" s="7"/>
      <c r="C66" s="7"/>
      <c r="D66" s="7"/>
      <c r="E66" s="7"/>
      <c r="F66" s="7"/>
      <c r="G66" s="7"/>
      <c r="H66" s="7"/>
      <c r="I66" s="7"/>
      <c r="J66" s="7"/>
      <c r="K66" s="7"/>
      <c r="L66" s="7"/>
      <c r="M66" s="7"/>
    </row>
    <row r="67" spans="1:13" ht="12.75">
      <c r="A67" s="7"/>
      <c r="B67" s="7"/>
      <c r="C67" s="7"/>
      <c r="D67" s="7"/>
      <c r="E67" s="7"/>
      <c r="F67" s="7"/>
      <c r="G67" s="7"/>
      <c r="H67" s="7"/>
      <c r="I67" s="7"/>
      <c r="J67" s="7"/>
      <c r="K67" s="7"/>
      <c r="L67" s="7"/>
      <c r="M67" s="7"/>
    </row>
    <row r="68" spans="1:13" ht="12.75">
      <c r="A68" s="7"/>
      <c r="B68" s="7"/>
      <c r="C68" s="7"/>
      <c r="D68" s="7"/>
      <c r="E68" s="7"/>
      <c r="F68" s="7"/>
      <c r="G68" s="7"/>
      <c r="H68" s="7"/>
      <c r="I68" s="7"/>
      <c r="J68" s="7"/>
      <c r="K68" s="7"/>
      <c r="L68" s="7"/>
      <c r="M68" s="7"/>
    </row>
    <row r="69" spans="1:13" ht="12.75">
      <c r="A69" s="7"/>
      <c r="B69" s="7"/>
      <c r="C69" s="7"/>
      <c r="D69" s="7"/>
      <c r="E69" s="7"/>
      <c r="F69" s="7"/>
      <c r="G69" s="7"/>
      <c r="H69" s="7"/>
      <c r="I69" s="7"/>
      <c r="J69" s="7"/>
      <c r="K69" s="7"/>
      <c r="L69" s="7"/>
      <c r="M69" s="7"/>
    </row>
    <row r="70" spans="1:13" ht="12.75">
      <c r="A70" s="7"/>
      <c r="B70" s="7"/>
      <c r="C70" s="7"/>
      <c r="D70" s="7"/>
      <c r="E70" s="7"/>
      <c r="F70" s="7"/>
      <c r="G70" s="7"/>
      <c r="H70" s="7"/>
      <c r="I70" s="7"/>
      <c r="J70" s="7"/>
      <c r="K70" s="7"/>
      <c r="L70" s="7"/>
      <c r="M70" s="7"/>
    </row>
    <row r="71" spans="1:13" ht="12.75">
      <c r="A71" s="7"/>
      <c r="B71" s="7"/>
      <c r="C71" s="7"/>
      <c r="D71" s="7"/>
      <c r="E71" s="7"/>
      <c r="F71" s="7"/>
      <c r="G71" s="7"/>
      <c r="H71" s="7"/>
      <c r="I71" s="7"/>
      <c r="J71" s="7"/>
      <c r="K71" s="7"/>
      <c r="L71" s="7"/>
      <c r="M71" s="7"/>
    </row>
    <row r="72" spans="1:13" ht="12.75">
      <c r="A72" s="7"/>
      <c r="B72" s="7"/>
      <c r="C72" s="7"/>
      <c r="D72" s="7"/>
      <c r="E72" s="7"/>
      <c r="F72" s="7"/>
      <c r="G72" s="7"/>
      <c r="H72" s="7"/>
      <c r="I72" s="7"/>
      <c r="J72" s="7"/>
      <c r="K72" s="7"/>
      <c r="L72" s="7"/>
      <c r="M72" s="7"/>
    </row>
    <row r="73" spans="1:13" ht="12.75">
      <c r="A73" s="7"/>
      <c r="B73" s="7"/>
      <c r="C73" s="7"/>
      <c r="D73" s="7"/>
      <c r="E73" s="7"/>
      <c r="F73" s="7"/>
      <c r="G73" s="7"/>
      <c r="H73" s="7"/>
      <c r="I73" s="7"/>
      <c r="J73" s="7"/>
      <c r="K73" s="7"/>
      <c r="L73" s="7"/>
      <c r="M73" s="7"/>
    </row>
    <row r="74" spans="1:13" ht="12.75">
      <c r="A74" s="8"/>
      <c r="B74" s="8"/>
      <c r="C74" s="8"/>
      <c r="D74" s="8"/>
      <c r="E74" s="7"/>
      <c r="F74" s="7"/>
      <c r="G74" s="7"/>
      <c r="H74" s="7"/>
      <c r="I74" s="7"/>
      <c r="J74" s="7"/>
      <c r="K74" s="7"/>
      <c r="L74" s="7"/>
      <c r="M74" s="7"/>
    </row>
    <row r="75" spans="1:13" ht="12.75">
      <c r="A75" s="8"/>
      <c r="B75" s="8"/>
      <c r="C75" s="8"/>
      <c r="D75" s="8"/>
      <c r="E75" s="7"/>
      <c r="F75" s="7"/>
      <c r="G75" s="7"/>
      <c r="H75" s="7"/>
      <c r="I75" s="7"/>
      <c r="J75" s="7"/>
      <c r="K75" s="7"/>
      <c r="L75" s="7"/>
      <c r="M75" s="7"/>
    </row>
    <row r="76" spans="1:13" ht="12.75">
      <c r="A76" s="8"/>
      <c r="B76" s="8"/>
      <c r="C76" s="8"/>
      <c r="D76" s="8"/>
      <c r="E76" s="7"/>
      <c r="F76" s="7"/>
      <c r="G76" s="7"/>
      <c r="H76" s="7"/>
      <c r="I76" s="7"/>
      <c r="J76" s="7"/>
      <c r="K76" s="7"/>
      <c r="L76" s="7"/>
      <c r="M76" s="7"/>
    </row>
    <row r="77" spans="1:13" ht="12.75">
      <c r="A77" s="8"/>
      <c r="B77" s="8"/>
      <c r="C77" s="8"/>
      <c r="D77" s="8"/>
      <c r="E77" s="7"/>
      <c r="F77" s="7"/>
      <c r="G77" s="7"/>
      <c r="H77" s="7"/>
      <c r="I77" s="7"/>
      <c r="J77" s="7"/>
      <c r="K77" s="7"/>
      <c r="L77" s="7"/>
      <c r="M77" s="7"/>
    </row>
    <row r="78" spans="1:13" ht="12.75">
      <c r="A78" s="8"/>
      <c r="B78" s="8"/>
      <c r="C78" s="8"/>
      <c r="D78" s="8"/>
      <c r="E78" s="7"/>
      <c r="F78" s="7"/>
      <c r="G78" s="7"/>
      <c r="H78" s="7"/>
      <c r="I78" s="7"/>
      <c r="J78" s="7"/>
      <c r="K78" s="7"/>
      <c r="L78" s="7"/>
      <c r="M78" s="7"/>
    </row>
    <row r="79" spans="1:13" ht="12.75">
      <c r="A79" s="8"/>
      <c r="B79" s="8"/>
      <c r="C79" s="8"/>
      <c r="D79" s="8"/>
      <c r="E79" s="7"/>
      <c r="F79" s="7"/>
      <c r="G79" s="7"/>
      <c r="H79" s="7"/>
      <c r="I79" s="7"/>
      <c r="J79" s="7"/>
      <c r="K79" s="7"/>
      <c r="L79" s="7"/>
      <c r="M79" s="7"/>
    </row>
    <row r="80" spans="1:13" ht="12.75">
      <c r="A80" s="8"/>
      <c r="B80" s="8"/>
      <c r="C80" s="8"/>
      <c r="D80" s="8"/>
      <c r="E80" s="7"/>
      <c r="F80" s="7"/>
      <c r="G80" s="7"/>
      <c r="H80" s="7"/>
      <c r="I80" s="7"/>
      <c r="J80" s="7"/>
      <c r="K80" s="7"/>
      <c r="L80" s="7"/>
      <c r="M80" s="7"/>
    </row>
    <row r="81" spans="1:13" ht="12.75">
      <c r="A81" s="8"/>
      <c r="B81" s="8"/>
      <c r="C81" s="8"/>
      <c r="D81" s="8"/>
      <c r="E81" s="7"/>
      <c r="F81" s="7"/>
      <c r="G81" s="7"/>
      <c r="H81" s="7"/>
      <c r="I81" s="7"/>
      <c r="J81" s="7"/>
      <c r="K81" s="7"/>
      <c r="L81" s="7"/>
      <c r="M81" s="7"/>
    </row>
    <row r="82" spans="1:13" ht="12.75">
      <c r="A82" s="8"/>
      <c r="B82" s="8"/>
      <c r="C82" s="8"/>
      <c r="D82" s="8"/>
      <c r="E82" s="7"/>
      <c r="F82" s="7"/>
      <c r="G82" s="7"/>
      <c r="H82" s="7"/>
      <c r="I82" s="7"/>
      <c r="J82" s="7"/>
      <c r="K82" s="7"/>
      <c r="L82" s="7"/>
      <c r="M82" s="7"/>
    </row>
    <row r="83" spans="1:13" ht="12.75">
      <c r="A83" s="8"/>
      <c r="B83" s="8"/>
      <c r="C83" s="8"/>
      <c r="D83" s="8"/>
      <c r="E83" s="7"/>
      <c r="F83" s="7"/>
      <c r="G83" s="7"/>
      <c r="H83" s="7"/>
      <c r="I83" s="7"/>
      <c r="J83" s="7"/>
      <c r="K83" s="7"/>
      <c r="L83" s="7"/>
      <c r="M83" s="7"/>
    </row>
    <row r="84" spans="1:13" ht="12.75">
      <c r="A84" s="8"/>
      <c r="B84" s="8"/>
      <c r="C84" s="8"/>
      <c r="D84" s="8"/>
      <c r="E84" s="7"/>
      <c r="F84" s="7"/>
      <c r="G84" s="7"/>
      <c r="H84" s="7"/>
      <c r="I84" s="7"/>
      <c r="J84" s="7"/>
      <c r="K84" s="7"/>
      <c r="L84" s="7"/>
      <c r="M84" s="7"/>
    </row>
    <row r="85" spans="1:13" ht="12.75">
      <c r="A85" s="8"/>
      <c r="B85" s="8"/>
      <c r="C85" s="8"/>
      <c r="D85" s="8"/>
      <c r="E85" s="7"/>
      <c r="F85" s="7"/>
      <c r="G85" s="7"/>
      <c r="H85" s="7"/>
      <c r="I85" s="7"/>
      <c r="J85" s="7"/>
      <c r="K85" s="7"/>
      <c r="L85" s="7"/>
      <c r="M85" s="7"/>
    </row>
    <row r="86" spans="1:13" ht="12.75">
      <c r="A86" s="8"/>
      <c r="B86" s="8"/>
      <c r="C86" s="8"/>
      <c r="D86" s="8"/>
      <c r="E86" s="7"/>
      <c r="F86" s="7"/>
      <c r="G86" s="7"/>
      <c r="H86" s="7"/>
      <c r="I86" s="7"/>
      <c r="J86" s="7"/>
      <c r="K86" s="7"/>
      <c r="L86" s="7"/>
      <c r="M86" s="7"/>
    </row>
    <row r="87" spans="1:13" ht="12.75">
      <c r="A87" s="8"/>
      <c r="B87" s="8"/>
      <c r="C87" s="8"/>
      <c r="D87" s="8"/>
      <c r="E87" s="7"/>
      <c r="F87" s="7"/>
      <c r="G87" s="7"/>
      <c r="H87" s="7"/>
      <c r="I87" s="7"/>
      <c r="J87" s="7"/>
      <c r="K87" s="7"/>
      <c r="L87" s="7"/>
      <c r="M87" s="7"/>
    </row>
    <row r="88" spans="1:13" ht="12.75">
      <c r="A88" s="8"/>
      <c r="B88" s="8"/>
      <c r="C88" s="8"/>
      <c r="D88" s="8"/>
      <c r="E88" s="7"/>
      <c r="F88" s="7"/>
      <c r="G88" s="7"/>
      <c r="H88" s="7"/>
      <c r="I88" s="7"/>
      <c r="J88" s="7"/>
      <c r="K88" s="7"/>
      <c r="L88" s="7"/>
      <c r="M88" s="7"/>
    </row>
    <row r="89" spans="1:13" ht="12.75">
      <c r="A89" s="8"/>
      <c r="B89" s="8"/>
      <c r="C89" s="8"/>
      <c r="D89" s="8"/>
      <c r="E89" s="7"/>
      <c r="F89" s="7"/>
      <c r="G89" s="7"/>
      <c r="H89" s="7"/>
      <c r="I89" s="7"/>
      <c r="J89" s="7"/>
      <c r="K89" s="7"/>
      <c r="L89" s="7"/>
      <c r="M89" s="7"/>
    </row>
    <row r="90" spans="1:13" ht="12.75">
      <c r="A90" s="8"/>
      <c r="B90" s="8"/>
      <c r="C90" s="8"/>
      <c r="D90" s="8"/>
      <c r="E90" s="7"/>
      <c r="F90" s="7"/>
      <c r="G90" s="7"/>
      <c r="H90" s="7"/>
      <c r="I90" s="7"/>
      <c r="J90" s="7"/>
      <c r="K90" s="7"/>
      <c r="L90" s="7"/>
      <c r="M90" s="7"/>
    </row>
    <row r="91" spans="1:13" ht="12.75">
      <c r="A91" s="10"/>
      <c r="B91" s="11"/>
      <c r="C91" s="11"/>
      <c r="D91" s="11"/>
      <c r="E91" s="7"/>
      <c r="F91" s="7"/>
      <c r="G91" s="7"/>
      <c r="H91" s="7"/>
      <c r="I91" s="7"/>
      <c r="J91" s="7"/>
      <c r="K91" s="7"/>
      <c r="L91" s="7"/>
      <c r="M91" s="7"/>
    </row>
    <row r="92" spans="1:13" ht="12.75">
      <c r="A92" s="10"/>
      <c r="B92" s="11"/>
      <c r="C92" s="11"/>
      <c r="D92" s="11"/>
      <c r="E92" s="7"/>
      <c r="F92" s="7"/>
      <c r="G92" s="7"/>
      <c r="H92" s="7"/>
      <c r="I92" s="7"/>
      <c r="J92" s="7"/>
      <c r="K92" s="7"/>
      <c r="L92" s="7"/>
      <c r="M92" s="7"/>
    </row>
    <row r="93" spans="1:13" ht="12.75">
      <c r="A93" s="10"/>
      <c r="B93" s="11"/>
      <c r="C93" s="11"/>
      <c r="D93" s="11"/>
      <c r="E93" s="7"/>
      <c r="F93" s="7"/>
      <c r="G93" s="7"/>
      <c r="H93" s="7"/>
      <c r="I93" s="7"/>
      <c r="J93" s="7"/>
      <c r="K93" s="7"/>
      <c r="L93" s="7"/>
      <c r="M93" s="7"/>
    </row>
    <row r="94" spans="1:13" ht="12.75">
      <c r="A94" s="10"/>
      <c r="B94" s="11"/>
      <c r="C94" s="11"/>
      <c r="D94" s="11"/>
      <c r="E94" s="7"/>
      <c r="F94" s="7"/>
      <c r="G94" s="7"/>
      <c r="H94" s="7"/>
      <c r="I94" s="7"/>
      <c r="J94" s="7"/>
      <c r="K94" s="7"/>
      <c r="L94" s="7"/>
      <c r="M94" s="7"/>
    </row>
    <row r="95" spans="1:13" ht="12.75">
      <c r="A95" s="8"/>
      <c r="B95" s="11"/>
      <c r="C95" s="11"/>
      <c r="D95" s="11"/>
      <c r="E95" s="7"/>
      <c r="F95" s="7"/>
      <c r="G95" s="7"/>
      <c r="H95" s="7"/>
      <c r="I95" s="7"/>
      <c r="J95" s="7"/>
      <c r="K95" s="7"/>
      <c r="L95" s="7"/>
      <c r="M95" s="7"/>
    </row>
    <row r="96" spans="1:13" ht="12.75">
      <c r="A96" s="8"/>
      <c r="B96" s="11"/>
      <c r="C96" s="11"/>
      <c r="D96" s="11"/>
      <c r="E96" s="7"/>
      <c r="F96" s="7"/>
      <c r="G96" s="7"/>
      <c r="H96" s="7"/>
      <c r="I96" s="7"/>
      <c r="J96" s="7"/>
      <c r="K96" s="7"/>
      <c r="L96" s="7"/>
      <c r="M96" s="7"/>
    </row>
    <row r="97" spans="1:13" ht="12.75">
      <c r="A97" s="8"/>
      <c r="B97" s="11"/>
      <c r="C97" s="11"/>
      <c r="D97" s="11"/>
      <c r="E97" s="7"/>
      <c r="F97" s="7"/>
      <c r="G97" s="7"/>
      <c r="H97" s="7"/>
      <c r="I97" s="7"/>
      <c r="J97" s="7"/>
      <c r="K97" s="7"/>
      <c r="L97" s="7"/>
      <c r="M97" s="7"/>
    </row>
    <row r="98" spans="1:13" ht="12.75">
      <c r="A98" s="8"/>
      <c r="B98" s="11"/>
      <c r="C98" s="11"/>
      <c r="D98" s="11"/>
      <c r="E98" s="7"/>
      <c r="F98" s="7"/>
      <c r="G98" s="7"/>
      <c r="H98" s="7"/>
      <c r="I98" s="7"/>
      <c r="J98" s="7"/>
      <c r="K98" s="7"/>
      <c r="L98" s="7"/>
      <c r="M98" s="7"/>
    </row>
    <row r="99" spans="1:13" ht="12.75">
      <c r="A99" s="8"/>
      <c r="B99" s="11"/>
      <c r="C99" s="11"/>
      <c r="D99" s="11"/>
      <c r="E99" s="7"/>
      <c r="F99" s="7"/>
      <c r="G99" s="7"/>
      <c r="H99" s="7"/>
      <c r="I99" s="7"/>
      <c r="J99" s="7"/>
      <c r="K99" s="7"/>
      <c r="L99" s="7"/>
      <c r="M99" s="7"/>
    </row>
    <row r="100" spans="1:13" ht="12.75">
      <c r="A100" s="8"/>
      <c r="B100" s="11"/>
      <c r="C100" s="11"/>
      <c r="D100" s="11"/>
      <c r="E100" s="7"/>
      <c r="F100" s="7"/>
      <c r="G100" s="7"/>
      <c r="H100" s="7"/>
      <c r="I100" s="7"/>
      <c r="J100" s="7"/>
      <c r="K100" s="7"/>
      <c r="L100" s="7"/>
      <c r="M100" s="7"/>
    </row>
    <row r="101" spans="1:13" ht="12.75">
      <c r="A101" s="8"/>
      <c r="B101" s="11"/>
      <c r="C101" s="11"/>
      <c r="D101" s="11"/>
      <c r="E101" s="7"/>
      <c r="F101" s="7"/>
      <c r="G101" s="7"/>
      <c r="H101" s="7"/>
      <c r="I101" s="7"/>
      <c r="J101" s="7"/>
      <c r="K101" s="7"/>
      <c r="L101" s="7"/>
      <c r="M101" s="7"/>
    </row>
    <row r="102" spans="1:13" ht="12.75">
      <c r="A102" s="8"/>
      <c r="B102" s="11"/>
      <c r="C102" s="11"/>
      <c r="D102" s="11"/>
      <c r="E102" s="7"/>
      <c r="F102" s="7"/>
      <c r="G102" s="7"/>
      <c r="H102" s="7"/>
      <c r="I102" s="7"/>
      <c r="J102" s="7"/>
      <c r="K102" s="7"/>
      <c r="L102" s="7"/>
      <c r="M102" s="7"/>
    </row>
    <row r="103" spans="1:13" ht="12.75">
      <c r="A103" s="8"/>
      <c r="B103" s="11"/>
      <c r="C103" s="11"/>
      <c r="D103" s="11"/>
      <c r="E103" s="7"/>
      <c r="F103" s="7"/>
      <c r="G103" s="7"/>
      <c r="H103" s="7"/>
      <c r="I103" s="7"/>
      <c r="J103" s="7"/>
      <c r="K103" s="7"/>
      <c r="L103" s="7"/>
      <c r="M103" s="7"/>
    </row>
    <row r="104" spans="1:13" ht="12.75">
      <c r="A104" s="8"/>
      <c r="B104" s="8"/>
      <c r="C104" s="8"/>
      <c r="D104" s="8"/>
      <c r="E104" s="7"/>
      <c r="F104" s="7"/>
      <c r="G104" s="7"/>
      <c r="H104" s="7"/>
      <c r="I104" s="7"/>
      <c r="J104" s="7"/>
      <c r="K104" s="7"/>
      <c r="L104" s="7"/>
      <c r="M104" s="7"/>
    </row>
    <row r="105" spans="1:13" ht="12.75">
      <c r="A105" s="8"/>
      <c r="B105" s="8"/>
      <c r="C105" s="8"/>
      <c r="D105" s="8"/>
      <c r="E105" s="7"/>
      <c r="F105" s="7"/>
      <c r="G105" s="7"/>
      <c r="H105" s="7"/>
      <c r="I105" s="7"/>
      <c r="J105" s="7"/>
      <c r="K105" s="7"/>
      <c r="L105" s="7"/>
      <c r="M105" s="7"/>
    </row>
    <row r="106" spans="1:13" ht="12.75">
      <c r="A106" s="8"/>
      <c r="B106" s="8"/>
      <c r="C106" s="8"/>
      <c r="D106" s="8"/>
      <c r="E106" s="7"/>
      <c r="F106" s="7"/>
      <c r="G106" s="7"/>
      <c r="H106" s="7"/>
      <c r="I106" s="7"/>
      <c r="J106" s="7"/>
      <c r="K106" s="7"/>
      <c r="L106" s="7"/>
      <c r="M106" s="7"/>
    </row>
    <row r="107" spans="1:13" ht="12.75">
      <c r="A107" s="8"/>
      <c r="B107" s="8"/>
      <c r="C107" s="8"/>
      <c r="D107" s="8"/>
      <c r="E107" s="7"/>
      <c r="F107" s="7"/>
      <c r="G107" s="7"/>
      <c r="H107" s="7"/>
      <c r="I107" s="7"/>
      <c r="J107" s="7"/>
      <c r="K107" s="7"/>
      <c r="L107" s="7"/>
      <c r="M107" s="7"/>
    </row>
    <row r="108" spans="1:13" ht="12.75">
      <c r="A108" s="8"/>
      <c r="B108" s="8"/>
      <c r="C108" s="8"/>
      <c r="D108" s="8"/>
      <c r="E108" s="7"/>
      <c r="F108" s="7"/>
      <c r="G108" s="7"/>
      <c r="H108" s="7"/>
      <c r="I108" s="7"/>
      <c r="J108" s="7"/>
      <c r="K108" s="7"/>
      <c r="L108" s="7"/>
      <c r="M108" s="7"/>
    </row>
    <row r="109" spans="1:13" ht="12.75">
      <c r="A109" s="8"/>
      <c r="B109" s="8"/>
      <c r="C109" s="8"/>
      <c r="D109" s="8"/>
      <c r="E109" s="7"/>
      <c r="F109" s="7"/>
      <c r="G109" s="7"/>
      <c r="H109" s="7"/>
      <c r="I109" s="7"/>
      <c r="J109" s="7"/>
      <c r="K109" s="7"/>
      <c r="L109" s="7"/>
      <c r="M109" s="7"/>
    </row>
    <row r="110" spans="1:13" ht="12.75">
      <c r="A110" s="8"/>
      <c r="B110" s="8"/>
      <c r="C110" s="8"/>
      <c r="D110" s="8"/>
      <c r="E110" s="7"/>
      <c r="F110" s="7"/>
      <c r="G110" s="7"/>
      <c r="H110" s="7"/>
      <c r="I110" s="7"/>
      <c r="J110" s="7"/>
      <c r="K110" s="7"/>
      <c r="L110" s="7"/>
      <c r="M110" s="7"/>
    </row>
    <row r="111" spans="1:13" ht="12.75">
      <c r="A111" s="8"/>
      <c r="B111" s="8"/>
      <c r="C111" s="8"/>
      <c r="D111" s="8"/>
      <c r="E111" s="7"/>
      <c r="F111" s="7"/>
      <c r="G111" s="7"/>
      <c r="H111" s="7"/>
      <c r="I111" s="7"/>
      <c r="J111" s="7"/>
      <c r="K111" s="7"/>
      <c r="L111" s="7"/>
      <c r="M111" s="7"/>
    </row>
    <row r="112" spans="1:13" ht="12.75">
      <c r="A112" s="8"/>
      <c r="B112" s="8"/>
      <c r="C112" s="8"/>
      <c r="D112" s="8"/>
      <c r="E112" s="7"/>
      <c r="F112" s="7"/>
      <c r="G112" s="7"/>
      <c r="H112" s="7"/>
      <c r="I112" s="7"/>
      <c r="J112" s="7"/>
      <c r="K112" s="7"/>
      <c r="L112" s="7"/>
      <c r="M112" s="7"/>
    </row>
    <row r="113" spans="1:13" ht="12.75">
      <c r="A113" s="8"/>
      <c r="B113" s="8"/>
      <c r="C113" s="8"/>
      <c r="D113" s="8"/>
      <c r="E113" s="7"/>
      <c r="F113" s="7"/>
      <c r="G113" s="7"/>
      <c r="H113" s="7"/>
      <c r="I113" s="7"/>
      <c r="J113" s="7"/>
      <c r="K113" s="7"/>
      <c r="L113" s="7"/>
      <c r="M113" s="7"/>
    </row>
    <row r="114" spans="1:13" ht="12.75">
      <c r="A114" s="8"/>
      <c r="B114" s="8"/>
      <c r="C114" s="8"/>
      <c r="D114" s="8"/>
      <c r="E114" s="7"/>
      <c r="F114" s="7"/>
      <c r="G114" s="7"/>
      <c r="H114" s="7"/>
      <c r="I114" s="7"/>
      <c r="J114" s="7"/>
      <c r="K114" s="7"/>
      <c r="L114" s="7"/>
      <c r="M114" s="7"/>
    </row>
    <row r="115" spans="1:13" ht="12.75">
      <c r="A115" s="8"/>
      <c r="B115" s="8"/>
      <c r="C115" s="8"/>
      <c r="D115" s="8"/>
      <c r="E115" s="7"/>
      <c r="F115" s="7"/>
      <c r="G115" s="7"/>
      <c r="H115" s="7"/>
      <c r="I115" s="7"/>
      <c r="J115" s="7"/>
      <c r="K115" s="7"/>
      <c r="L115" s="7"/>
      <c r="M115" s="7"/>
    </row>
    <row r="116" spans="1:13" ht="12.75">
      <c r="A116" s="8"/>
      <c r="B116" s="8"/>
      <c r="C116" s="8"/>
      <c r="D116" s="8"/>
      <c r="E116" s="7"/>
      <c r="F116" s="7"/>
      <c r="G116" s="7"/>
      <c r="H116" s="7"/>
      <c r="I116" s="7"/>
      <c r="J116" s="7"/>
      <c r="K116" s="7"/>
      <c r="L116" s="7"/>
      <c r="M116" s="7"/>
    </row>
    <row r="117" spans="1:13" ht="12.75">
      <c r="A117" s="8"/>
      <c r="B117" s="8"/>
      <c r="C117" s="8"/>
      <c r="D117" s="8"/>
      <c r="E117" s="7"/>
      <c r="F117" s="7"/>
      <c r="G117" s="7"/>
      <c r="H117" s="7"/>
      <c r="I117" s="7"/>
      <c r="J117" s="7"/>
      <c r="K117" s="7"/>
      <c r="L117" s="7"/>
      <c r="M117" s="7"/>
    </row>
    <row r="118" spans="1:13" ht="12.75">
      <c r="A118" s="8"/>
      <c r="B118" s="8"/>
      <c r="C118" s="8"/>
      <c r="D118" s="8"/>
      <c r="E118" s="7"/>
      <c r="F118" s="7"/>
      <c r="G118" s="7"/>
      <c r="H118" s="7"/>
      <c r="I118" s="7"/>
      <c r="J118" s="7"/>
      <c r="K118" s="7"/>
      <c r="L118" s="7"/>
      <c r="M118" s="7"/>
    </row>
    <row r="119" spans="1:13" ht="12.75">
      <c r="A119" s="8"/>
      <c r="B119" s="8"/>
      <c r="C119" s="8"/>
      <c r="D119" s="8"/>
      <c r="E119" s="7"/>
      <c r="F119" s="7"/>
      <c r="G119" s="7"/>
      <c r="H119" s="7"/>
      <c r="I119" s="7"/>
      <c r="J119" s="7"/>
      <c r="K119" s="7"/>
      <c r="L119" s="7"/>
      <c r="M119" s="7"/>
    </row>
    <row r="120" spans="1:13" ht="12.75">
      <c r="A120" s="8"/>
      <c r="B120" s="8"/>
      <c r="C120" s="8"/>
      <c r="D120" s="8"/>
      <c r="E120" s="7"/>
      <c r="F120" s="7"/>
      <c r="G120" s="7"/>
      <c r="H120" s="7"/>
      <c r="I120" s="7"/>
      <c r="J120" s="7"/>
      <c r="K120" s="7"/>
      <c r="L120" s="7"/>
      <c r="M120" s="7"/>
    </row>
    <row r="121" spans="1:13" ht="12.75">
      <c r="A121" s="8"/>
      <c r="B121" s="8"/>
      <c r="C121" s="8"/>
      <c r="D121" s="8"/>
      <c r="E121" s="7"/>
      <c r="F121" s="7"/>
      <c r="G121" s="7"/>
      <c r="H121" s="7"/>
      <c r="I121" s="7"/>
      <c r="J121" s="7"/>
      <c r="K121" s="7"/>
      <c r="L121" s="7"/>
      <c r="M121" s="7"/>
    </row>
    <row r="122" spans="1:13" ht="12.75">
      <c r="A122" s="8"/>
      <c r="B122" s="8"/>
      <c r="C122" s="8"/>
      <c r="D122" s="8"/>
      <c r="E122" s="7"/>
      <c r="F122" s="7"/>
      <c r="G122" s="7"/>
      <c r="H122" s="7"/>
      <c r="I122" s="7"/>
      <c r="J122" s="7"/>
      <c r="K122" s="7"/>
      <c r="L122" s="7"/>
      <c r="M122" s="7"/>
    </row>
    <row r="123" spans="1:13" ht="12.75">
      <c r="A123" s="8"/>
      <c r="B123" s="8"/>
      <c r="C123" s="8"/>
      <c r="D123" s="8"/>
      <c r="E123" s="7"/>
      <c r="F123" s="7"/>
      <c r="G123" s="7"/>
      <c r="H123" s="7"/>
      <c r="I123" s="7"/>
      <c r="J123" s="7"/>
      <c r="K123" s="7"/>
      <c r="L123" s="7"/>
      <c r="M123" s="7"/>
    </row>
    <row r="124" spans="1:13" ht="12.75">
      <c r="A124" s="8"/>
      <c r="B124" s="8"/>
      <c r="C124" s="8"/>
      <c r="D124" s="8"/>
      <c r="E124" s="7"/>
      <c r="F124" s="7"/>
      <c r="G124" s="7"/>
      <c r="H124" s="7"/>
      <c r="I124" s="7"/>
      <c r="J124" s="7"/>
      <c r="K124" s="7"/>
      <c r="L124" s="7"/>
      <c r="M124" s="7"/>
    </row>
    <row r="125" spans="1:13" ht="12.75">
      <c r="A125" s="8"/>
      <c r="B125" s="8"/>
      <c r="C125" s="8"/>
      <c r="D125" s="8"/>
      <c r="E125" s="7"/>
      <c r="F125" s="7"/>
      <c r="G125" s="7"/>
      <c r="H125" s="7"/>
      <c r="I125" s="7"/>
      <c r="J125" s="7"/>
      <c r="K125" s="7"/>
      <c r="L125" s="7"/>
      <c r="M125" s="7"/>
    </row>
    <row r="126" spans="1:13" ht="12.75">
      <c r="A126" s="8"/>
      <c r="B126" s="8"/>
      <c r="C126" s="8"/>
      <c r="D126" s="8"/>
      <c r="E126" s="7"/>
      <c r="F126" s="7"/>
      <c r="G126" s="7"/>
      <c r="H126" s="7"/>
      <c r="I126" s="7"/>
      <c r="J126" s="7"/>
      <c r="K126" s="7"/>
      <c r="L126" s="7"/>
      <c r="M126" s="7"/>
    </row>
    <row r="127" spans="1:13" ht="12.75">
      <c r="A127" s="8"/>
      <c r="B127" s="8"/>
      <c r="C127" s="8"/>
      <c r="D127" s="8"/>
      <c r="E127" s="7"/>
      <c r="F127" s="7"/>
      <c r="G127" s="7"/>
      <c r="H127" s="7"/>
      <c r="I127" s="7"/>
      <c r="J127" s="7"/>
      <c r="K127" s="7"/>
      <c r="L127" s="7"/>
      <c r="M127" s="7"/>
    </row>
    <row r="128" spans="1:13" ht="12.75">
      <c r="A128" s="8"/>
      <c r="B128" s="8"/>
      <c r="C128" s="8"/>
      <c r="D128" s="8"/>
      <c r="E128" s="7"/>
      <c r="F128" s="7"/>
      <c r="G128" s="7"/>
      <c r="H128" s="7"/>
      <c r="I128" s="7"/>
      <c r="J128" s="7"/>
      <c r="K128" s="7"/>
      <c r="L128" s="7"/>
      <c r="M128" s="7"/>
    </row>
    <row r="129" spans="1:13" ht="12.75">
      <c r="A129" s="8"/>
      <c r="B129" s="8"/>
      <c r="C129" s="8"/>
      <c r="D129" s="8"/>
      <c r="E129" s="7"/>
      <c r="F129" s="7"/>
      <c r="G129" s="7"/>
      <c r="H129" s="7"/>
      <c r="I129" s="7"/>
      <c r="J129" s="7"/>
      <c r="K129" s="7"/>
      <c r="L129" s="7"/>
      <c r="M129" s="7"/>
    </row>
    <row r="130" spans="1:6" ht="12.75">
      <c r="A130" s="5"/>
      <c r="B130" s="5"/>
      <c r="C130" s="5"/>
      <c r="D130" s="5"/>
      <c r="E130" s="6"/>
      <c r="F130" s="6"/>
    </row>
    <row r="131" spans="1:6" ht="12.75">
      <c r="A131" s="5"/>
      <c r="B131" s="5"/>
      <c r="C131" s="5"/>
      <c r="D131" s="5"/>
      <c r="E131" s="6"/>
      <c r="F131" s="6"/>
    </row>
    <row r="132" spans="1:6" ht="12.75">
      <c r="A132" s="5"/>
      <c r="B132" s="5"/>
      <c r="C132" s="5"/>
      <c r="D132" s="5"/>
      <c r="E132" s="6"/>
      <c r="F132" s="6"/>
    </row>
    <row r="133" spans="1:6" ht="12.75">
      <c r="A133" s="5"/>
      <c r="B133" s="5"/>
      <c r="C133" s="5"/>
      <c r="D133" s="5"/>
      <c r="E133" s="6"/>
      <c r="F133" s="6"/>
    </row>
    <row r="134" spans="1:6" ht="12.75">
      <c r="A134" s="5"/>
      <c r="B134" s="5"/>
      <c r="C134" s="5"/>
      <c r="D134" s="5"/>
      <c r="E134" s="6"/>
      <c r="F134" s="6"/>
    </row>
    <row r="135" spans="1:6" ht="12.75">
      <c r="A135" s="5"/>
      <c r="B135" s="5"/>
      <c r="C135" s="5"/>
      <c r="D135" s="5"/>
      <c r="E135" s="6"/>
      <c r="F135" s="6"/>
    </row>
    <row r="136" spans="1:6" ht="12.75">
      <c r="A136" s="5"/>
      <c r="B136" s="5"/>
      <c r="C136" s="5"/>
      <c r="D136" s="5"/>
      <c r="E136" s="6"/>
      <c r="F136" s="6"/>
    </row>
    <row r="137" spans="5:6" ht="12.75">
      <c r="E137" s="6"/>
      <c r="F137" s="6"/>
    </row>
    <row r="138" spans="5:6" ht="12.75">
      <c r="E138" s="6"/>
      <c r="F138" s="6"/>
    </row>
    <row r="139" spans="5:6" ht="12.75">
      <c r="E139" s="6"/>
      <c r="F139" s="6"/>
    </row>
    <row r="140" spans="5:6" ht="12.75">
      <c r="E140" s="6"/>
      <c r="F140" s="6"/>
    </row>
  </sheetData>
  <sheetProtection/>
  <printOptions horizontalCentered="1"/>
  <pageMargins left="0.75" right="0.75" top="0.5" bottom="0.5" header="0.5" footer="0.5"/>
  <pageSetup blackAndWhite="1" fitToHeight="1" fitToWidth="1" horizontalDpi="360" verticalDpi="360" orientation="landscape"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B2:P375"/>
  <sheetViews>
    <sheetView showGridLines="0" showRowColHeaders="0" zoomScale="90" zoomScaleNormal="90" zoomScalePageLayoutView="0" workbookViewId="0" topLeftCell="A22">
      <selection activeCell="A1" sqref="A1"/>
    </sheetView>
  </sheetViews>
  <sheetFormatPr defaultColWidth="9.7109375" defaultRowHeight="12.75"/>
  <cols>
    <col min="1" max="1" width="1.28515625" style="0" customWidth="1"/>
    <col min="2" max="2" width="0.42578125" style="0" customWidth="1"/>
    <col min="3" max="4" width="3.7109375" style="0" customWidth="1"/>
    <col min="5" max="5" width="5.7109375" style="0" customWidth="1"/>
    <col min="6" max="6" width="10.7109375" style="0" customWidth="1"/>
    <col min="7" max="7" width="8.7109375" style="0" customWidth="1"/>
    <col min="8" max="13" width="12.7109375" style="0" customWidth="1"/>
    <col min="14" max="15" width="3.7109375" style="0" customWidth="1"/>
    <col min="16" max="16" width="0.42578125" style="0" customWidth="1"/>
  </cols>
  <sheetData>
    <row r="1" ht="13.5" thickBot="1"/>
    <row r="2" spans="2:16" ht="0.75" customHeight="1" thickTop="1">
      <c r="B2" s="12"/>
      <c r="C2" s="13"/>
      <c r="D2" s="13"/>
      <c r="E2" s="13"/>
      <c r="F2" s="13"/>
      <c r="G2" s="13"/>
      <c r="H2" s="13"/>
      <c r="I2" s="13"/>
      <c r="J2" s="13"/>
      <c r="K2" s="13"/>
      <c r="L2" s="13"/>
      <c r="M2" s="13"/>
      <c r="N2" s="13"/>
      <c r="O2" s="13"/>
      <c r="P2" s="14"/>
    </row>
    <row r="3" spans="2:16" ht="12.75">
      <c r="B3" s="15"/>
      <c r="C3" s="16"/>
      <c r="D3" s="16"/>
      <c r="E3" s="16"/>
      <c r="F3" s="16"/>
      <c r="G3" s="16"/>
      <c r="H3" s="16"/>
      <c r="I3" s="16"/>
      <c r="J3" s="16"/>
      <c r="K3" s="16"/>
      <c r="L3" s="16"/>
      <c r="M3" s="16"/>
      <c r="N3" s="16"/>
      <c r="O3" s="16"/>
      <c r="P3" s="17"/>
    </row>
    <row r="4" spans="2:16" ht="13.5" thickBot="1">
      <c r="B4" s="15"/>
      <c r="C4" s="16"/>
      <c r="D4" s="16"/>
      <c r="E4" s="16"/>
      <c r="F4" s="16"/>
      <c r="G4" s="16"/>
      <c r="H4" s="16"/>
      <c r="I4" s="16"/>
      <c r="J4" s="16"/>
      <c r="K4" s="16"/>
      <c r="L4" s="16"/>
      <c r="M4" s="16"/>
      <c r="N4" s="16"/>
      <c r="O4" s="16"/>
      <c r="P4" s="17"/>
    </row>
    <row r="5" spans="2:16" ht="3" customHeight="1" thickTop="1">
      <c r="B5" s="15"/>
      <c r="C5" s="16"/>
      <c r="D5" s="50"/>
      <c r="E5" s="50"/>
      <c r="F5" s="50"/>
      <c r="G5" s="50"/>
      <c r="H5" s="50"/>
      <c r="I5" s="50"/>
      <c r="J5" s="50"/>
      <c r="K5" s="50"/>
      <c r="L5" s="50"/>
      <c r="M5" s="50"/>
      <c r="N5" s="50"/>
      <c r="O5" s="2"/>
      <c r="P5" s="17"/>
    </row>
    <row r="6" spans="2:16" ht="12.75">
      <c r="B6" s="15"/>
      <c r="C6" s="16"/>
      <c r="D6" s="16"/>
      <c r="E6" s="16"/>
      <c r="F6" s="16"/>
      <c r="G6" s="16"/>
      <c r="H6" s="16"/>
      <c r="I6" s="16"/>
      <c r="J6" s="16"/>
      <c r="K6" s="16"/>
      <c r="L6" s="16"/>
      <c r="M6" s="16"/>
      <c r="N6" s="16"/>
      <c r="O6" s="16"/>
      <c r="P6" s="17"/>
    </row>
    <row r="7" spans="2:16" ht="12.75">
      <c r="B7" s="15"/>
      <c r="C7" s="16"/>
      <c r="D7" s="16"/>
      <c r="E7" s="44"/>
      <c r="F7" s="51" t="s">
        <v>37</v>
      </c>
      <c r="G7" s="16"/>
      <c r="H7" s="16"/>
      <c r="I7" s="16"/>
      <c r="J7" s="16"/>
      <c r="K7" s="16"/>
      <c r="L7" s="16"/>
      <c r="M7" s="16"/>
      <c r="N7" s="16"/>
      <c r="O7" s="16"/>
      <c r="P7" s="17"/>
    </row>
    <row r="8" spans="2:16" ht="12.75">
      <c r="B8" s="15"/>
      <c r="C8" s="16"/>
      <c r="D8" s="16"/>
      <c r="E8" s="44"/>
      <c r="F8" s="2"/>
      <c r="G8" s="16"/>
      <c r="H8" s="16"/>
      <c r="I8" s="16"/>
      <c r="J8" s="16"/>
      <c r="K8" s="16"/>
      <c r="L8" s="16"/>
      <c r="M8" s="16"/>
      <c r="N8" s="16"/>
      <c r="O8" s="16"/>
      <c r="P8" s="17"/>
    </row>
    <row r="9" spans="2:16" ht="13.5" thickBot="1">
      <c r="B9" s="15"/>
      <c r="C9" s="16"/>
      <c r="D9" s="16"/>
      <c r="E9" s="44"/>
      <c r="F9" s="16"/>
      <c r="G9" s="16"/>
      <c r="H9" s="16"/>
      <c r="I9" s="16"/>
      <c r="J9" s="16"/>
      <c r="K9" s="16"/>
      <c r="L9" s="16"/>
      <c r="M9" s="16"/>
      <c r="N9" s="16"/>
      <c r="O9" s="16"/>
      <c r="P9" s="17"/>
    </row>
    <row r="10" spans="2:16" ht="12.75">
      <c r="B10" s="15"/>
      <c r="C10" s="109">
        <f>'Loan Data'!I21</f>
        <v>0</v>
      </c>
      <c r="D10" s="32"/>
      <c r="E10" s="52"/>
      <c r="F10" s="34"/>
      <c r="G10" s="34"/>
      <c r="H10" s="34"/>
      <c r="I10" s="34"/>
      <c r="J10" s="34"/>
      <c r="K10" s="34"/>
      <c r="L10" s="34"/>
      <c r="M10" s="34"/>
      <c r="N10" s="37"/>
      <c r="O10" s="16"/>
      <c r="P10" s="17"/>
    </row>
    <row r="11" spans="2:16" ht="12.75">
      <c r="B11" s="15"/>
      <c r="C11" s="110">
        <f>NOMO</f>
        <v>360</v>
      </c>
      <c r="D11" s="38"/>
      <c r="E11" s="30"/>
      <c r="F11" s="16"/>
      <c r="G11" s="16"/>
      <c r="H11" s="16"/>
      <c r="I11" s="16"/>
      <c r="J11" s="16"/>
      <c r="K11" s="16"/>
      <c r="L11" s="16"/>
      <c r="M11" s="16"/>
      <c r="N11" s="39"/>
      <c r="O11" s="16"/>
      <c r="P11" s="17"/>
    </row>
    <row r="12" spans="2:16" ht="12.75">
      <c r="B12" s="15"/>
      <c r="C12" s="110">
        <f>data5</f>
        <v>30</v>
      </c>
      <c r="D12" s="38"/>
      <c r="E12" s="44"/>
      <c r="F12" s="3">
        <f ca="1">TODAY()</f>
        <v>42701</v>
      </c>
      <c r="G12" s="3"/>
      <c r="H12" s="16"/>
      <c r="I12" s="30"/>
      <c r="J12" s="16"/>
      <c r="K12" s="4">
        <f>IF(data1&lt;&gt;"",data1,"")</f>
      </c>
      <c r="L12" s="4"/>
      <c r="M12" s="4"/>
      <c r="N12" s="39"/>
      <c r="O12" s="16"/>
      <c r="P12" s="17"/>
    </row>
    <row r="13" spans="2:16" ht="12.75">
      <c r="B13" s="15"/>
      <c r="C13" s="110">
        <f>Entered_Pmt</f>
        <v>0</v>
      </c>
      <c r="D13" s="38"/>
      <c r="E13" s="21"/>
      <c r="F13" s="16"/>
      <c r="G13" s="16"/>
      <c r="H13" s="16"/>
      <c r="I13" s="16"/>
      <c r="J13" s="16"/>
      <c r="K13" s="16"/>
      <c r="L13" s="45"/>
      <c r="M13" s="16"/>
      <c r="N13" s="39"/>
      <c r="O13" s="16"/>
      <c r="P13" s="17"/>
    </row>
    <row r="14" spans="2:16" ht="38.25">
      <c r="B14" s="15"/>
      <c r="C14" s="16"/>
      <c r="D14" s="54"/>
      <c r="E14" s="61" t="s">
        <v>38</v>
      </c>
      <c r="F14" s="62" t="s">
        <v>39</v>
      </c>
      <c r="G14" s="62" t="s">
        <v>40</v>
      </c>
      <c r="H14" s="62" t="s">
        <v>41</v>
      </c>
      <c r="I14" s="62" t="s">
        <v>42</v>
      </c>
      <c r="J14" s="62" t="s">
        <v>43</v>
      </c>
      <c r="K14" s="62" t="s">
        <v>44</v>
      </c>
      <c r="L14" s="61" t="s">
        <v>45</v>
      </c>
      <c r="M14" s="62" t="s">
        <v>46</v>
      </c>
      <c r="N14" s="53"/>
      <c r="O14" s="1"/>
      <c r="P14" s="17"/>
    </row>
    <row r="15" spans="2:16" ht="12.75">
      <c r="B15" s="15"/>
      <c r="C15" s="16"/>
      <c r="D15" s="38"/>
      <c r="E15" s="16"/>
      <c r="F15" s="16"/>
      <c r="G15" s="16"/>
      <c r="H15" s="16"/>
      <c r="I15" s="16"/>
      <c r="J15" s="16"/>
      <c r="K15" s="16"/>
      <c r="L15" s="16"/>
      <c r="M15" s="16"/>
      <c r="N15" s="39"/>
      <c r="O15" s="16"/>
      <c r="P15" s="17"/>
    </row>
    <row r="16" spans="2:16" ht="12.75">
      <c r="B16" s="15"/>
      <c r="C16" s="16"/>
      <c r="D16" s="38"/>
      <c r="E16" s="63">
        <v>1</v>
      </c>
      <c r="F16" s="108">
        <f ca="1">IF(data4&gt;0,data4,TODAY())</f>
        <v>42675</v>
      </c>
      <c r="G16" s="64">
        <f>data3</f>
        <v>0.03</v>
      </c>
      <c r="H16" s="68">
        <f>IF(data2&lt;&gt;"",data2,0)</f>
        <v>325000</v>
      </c>
      <c r="I16" s="68">
        <f>IF(data2&lt;&gt;"",data2,0)</f>
        <v>325000</v>
      </c>
      <c r="J16" s="68">
        <f>IF(OR($C$12&lt;0.05,I16&lt;0.05,PERYR&lt;0.05),0,(ROUND(IF(J15+I16&lt;0,-I16+K16,IF($C$10=0,PMT(G16/PERYR,$C$11-E15,H16),-$C$13)),4)))</f>
        <v>-1370.2131</v>
      </c>
      <c r="K16" s="68">
        <f>IF(OR($C$12&lt;0.05,I16&lt;0.05,PERYR&lt;0.05),0,(ROUND(IPMT(G16/PERYR,1,$C$11-E15,I16),4)))</f>
        <v>-812.5</v>
      </c>
      <c r="L16" s="68">
        <f aca="true" t="shared" si="0" ref="L16:L31">-ROUND(MIN(I16,K16-J16),4)</f>
        <v>-557.7131</v>
      </c>
      <c r="M16" s="119"/>
      <c r="N16" s="41"/>
      <c r="O16" s="22"/>
      <c r="P16" s="23"/>
    </row>
    <row r="17" spans="2:16" ht="12.75">
      <c r="B17" s="15"/>
      <c r="C17" s="16"/>
      <c r="D17" s="38"/>
      <c r="E17" s="63">
        <f aca="true" t="shared" si="1" ref="E17:E32">1+E16</f>
        <v>2</v>
      </c>
      <c r="F17" s="108">
        <f>IF(H17&gt;0.01,DATE(YEAR($F$16),MONTH($F$16)+(E17-1)*12/PERYR,DAY($F$16)),"")</f>
        <v>42705</v>
      </c>
      <c r="G17" s="64">
        <f>IF(E17&lt;=data6*$C$12,G16,"")</f>
        <v>0.03</v>
      </c>
      <c r="H17" s="68">
        <f>IF(OR($C$12&lt;0.05,I17&lt;0.05,PERYR&lt;0.05),0,H16+ROUND(PPMT(G16/PERYR,1,$C$11-E16+1,H16),4))</f>
        <v>324442.2869</v>
      </c>
      <c r="I17" s="68">
        <f aca="true" t="shared" si="2" ref="I17:I32">IF(H16&gt;0.05,ROUND(I16+L16+M16,4),0)</f>
        <v>324442.2869</v>
      </c>
      <c r="J17" s="68">
        <f aca="true" t="shared" si="3" ref="J17:J32">IF(OR($C$12&lt;0.05,I17&lt;0.05,PERYR&lt;0.05,H17&lt;0.05),0,(ROUND(IF(J16+I17&lt;0,-I17+K17,IF($C$10=0,PMT(G17/PERYR,$C$11-E16,H17),-$C$13)),4)))</f>
        <v>-1370.2131</v>
      </c>
      <c r="K17" s="68">
        <f aca="true" t="shared" si="4" ref="K17:K32">IF(OR($C$12&lt;0.05,I17&lt;0.05,PERYR&lt;0.05,H17&lt;0.05),0,(ROUND(IPMT(G17/PERYR,1,$C$11-E16,I17),4)))</f>
        <v>-811.1057</v>
      </c>
      <c r="L17" s="68">
        <f t="shared" si="0"/>
        <v>-559.1074</v>
      </c>
      <c r="M17" s="69"/>
      <c r="N17" s="41"/>
      <c r="O17" s="107"/>
      <c r="P17" s="23"/>
    </row>
    <row r="18" spans="2:16" ht="12.75">
      <c r="B18" s="15"/>
      <c r="C18" s="16"/>
      <c r="D18" s="38"/>
      <c r="E18" s="63">
        <f t="shared" si="1"/>
        <v>3</v>
      </c>
      <c r="F18" s="108">
        <f>IF(H18&gt;0.01,DATE(YEAR($F$16),MONTH($F$16)+(E18-1)*12/PERYR,DAY($F$16)),"")</f>
        <v>42736</v>
      </c>
      <c r="G18" s="64">
        <f aca="true" t="shared" si="5" ref="G18:G33">IF(E18&lt;=data6*$C$12,G17,"")</f>
        <v>0.03</v>
      </c>
      <c r="H18" s="68">
        <f aca="true" t="shared" si="6" ref="H18:H33">IF(OR($C$12&lt;0.05,I18&lt;0.05,PERYR&lt;0.05),0,H17+ROUND(PPMT(G17/PERYR,1,$C$11-E17+1,H17),4))</f>
        <v>323883.1795</v>
      </c>
      <c r="I18" s="68">
        <f t="shared" si="2"/>
        <v>323883.1795</v>
      </c>
      <c r="J18" s="68">
        <f t="shared" si="3"/>
        <v>-1370.2131</v>
      </c>
      <c r="K18" s="68">
        <f t="shared" si="4"/>
        <v>-809.7079</v>
      </c>
      <c r="L18" s="68">
        <f t="shared" si="0"/>
        <v>-560.5052</v>
      </c>
      <c r="M18" s="69"/>
      <c r="N18" s="41"/>
      <c r="O18" s="107"/>
      <c r="P18" s="23"/>
    </row>
    <row r="19" spans="2:16" ht="12.75">
      <c r="B19" s="15"/>
      <c r="C19" s="16"/>
      <c r="D19" s="38"/>
      <c r="E19" s="63">
        <f t="shared" si="1"/>
        <v>4</v>
      </c>
      <c r="F19" s="108">
        <f aca="true" t="shared" si="7" ref="F19:F34">IF(H19&gt;0.01,DATE(YEAR($F$16),MONTH($F$16)+(E19-1)*12/PERYR,DAY($F$16)),"")</f>
        <v>42767</v>
      </c>
      <c r="G19" s="64">
        <f t="shared" si="5"/>
        <v>0.03</v>
      </c>
      <c r="H19" s="68">
        <f t="shared" si="6"/>
        <v>323322.6743</v>
      </c>
      <c r="I19" s="68">
        <f t="shared" si="2"/>
        <v>323322.6743</v>
      </c>
      <c r="J19" s="68">
        <f t="shared" si="3"/>
        <v>-1370.2131</v>
      </c>
      <c r="K19" s="68">
        <f t="shared" si="4"/>
        <v>-808.3067</v>
      </c>
      <c r="L19" s="68">
        <f t="shared" si="0"/>
        <v>-561.9064</v>
      </c>
      <c r="M19" s="69"/>
      <c r="N19" s="41"/>
      <c r="O19" s="22"/>
      <c r="P19" s="23"/>
    </row>
    <row r="20" spans="2:16" ht="12.75">
      <c r="B20" s="15"/>
      <c r="C20" s="16"/>
      <c r="D20" s="38"/>
      <c r="E20" s="63">
        <f t="shared" si="1"/>
        <v>5</v>
      </c>
      <c r="F20" s="108">
        <f t="shared" si="7"/>
        <v>42795</v>
      </c>
      <c r="G20" s="64">
        <f t="shared" si="5"/>
        <v>0.03</v>
      </c>
      <c r="H20" s="68">
        <f t="shared" si="6"/>
        <v>322760.76790000004</v>
      </c>
      <c r="I20" s="68">
        <f t="shared" si="2"/>
        <v>322760.7679</v>
      </c>
      <c r="J20" s="68">
        <f t="shared" si="3"/>
        <v>-1370.2131</v>
      </c>
      <c r="K20" s="68">
        <f t="shared" si="4"/>
        <v>-806.9019</v>
      </c>
      <c r="L20" s="68">
        <f t="shared" si="0"/>
        <v>-563.3112</v>
      </c>
      <c r="M20" s="69"/>
      <c r="N20" s="41"/>
      <c r="O20" s="22"/>
      <c r="P20" s="23"/>
    </row>
    <row r="21" spans="2:16" ht="12.75">
      <c r="B21" s="15"/>
      <c r="C21" s="16"/>
      <c r="D21" s="38"/>
      <c r="E21" s="63">
        <f t="shared" si="1"/>
        <v>6</v>
      </c>
      <c r="F21" s="108">
        <f t="shared" si="7"/>
        <v>42826</v>
      </c>
      <c r="G21" s="64">
        <f t="shared" si="5"/>
        <v>0.03</v>
      </c>
      <c r="H21" s="68">
        <f t="shared" si="6"/>
        <v>322197.45670000004</v>
      </c>
      <c r="I21" s="68">
        <f t="shared" si="2"/>
        <v>322197.4567</v>
      </c>
      <c r="J21" s="68">
        <f t="shared" si="3"/>
        <v>-1370.2131</v>
      </c>
      <c r="K21" s="68">
        <f t="shared" si="4"/>
        <v>-805.4936</v>
      </c>
      <c r="L21" s="68">
        <f t="shared" si="0"/>
        <v>-564.7195</v>
      </c>
      <c r="M21" s="69"/>
      <c r="N21" s="41"/>
      <c r="O21" s="22"/>
      <c r="P21" s="23"/>
    </row>
    <row r="22" spans="2:16" ht="12.75">
      <c r="B22" s="15"/>
      <c r="C22" s="16"/>
      <c r="D22" s="38"/>
      <c r="E22" s="63">
        <f t="shared" si="1"/>
        <v>7</v>
      </c>
      <c r="F22" s="108">
        <f t="shared" si="7"/>
        <v>42856</v>
      </c>
      <c r="G22" s="64">
        <f t="shared" si="5"/>
        <v>0.03</v>
      </c>
      <c r="H22" s="68">
        <f t="shared" si="6"/>
        <v>321632.73720000003</v>
      </c>
      <c r="I22" s="68">
        <f t="shared" si="2"/>
        <v>321632.7372</v>
      </c>
      <c r="J22" s="68">
        <f t="shared" si="3"/>
        <v>-1370.2131</v>
      </c>
      <c r="K22" s="68">
        <f t="shared" si="4"/>
        <v>-804.0818</v>
      </c>
      <c r="L22" s="68">
        <f t="shared" si="0"/>
        <v>-566.1313</v>
      </c>
      <c r="M22" s="69"/>
      <c r="N22" s="41"/>
      <c r="O22" s="22"/>
      <c r="P22" s="23"/>
    </row>
    <row r="23" spans="2:16" ht="12.75">
      <c r="B23" s="15"/>
      <c r="C23" s="16"/>
      <c r="D23" s="38"/>
      <c r="E23" s="63">
        <f t="shared" si="1"/>
        <v>8</v>
      </c>
      <c r="F23" s="108">
        <f t="shared" si="7"/>
        <v>42887</v>
      </c>
      <c r="G23" s="64">
        <f t="shared" si="5"/>
        <v>0.03</v>
      </c>
      <c r="H23" s="68">
        <f t="shared" si="6"/>
        <v>321066.6059</v>
      </c>
      <c r="I23" s="68">
        <f t="shared" si="2"/>
        <v>321066.6059</v>
      </c>
      <c r="J23" s="68">
        <f t="shared" si="3"/>
        <v>-1370.2131</v>
      </c>
      <c r="K23" s="68">
        <f t="shared" si="4"/>
        <v>-802.6665</v>
      </c>
      <c r="L23" s="68">
        <f t="shared" si="0"/>
        <v>-567.5466</v>
      </c>
      <c r="M23" s="69"/>
      <c r="N23" s="41"/>
      <c r="O23" s="22"/>
      <c r="P23" s="23"/>
    </row>
    <row r="24" spans="2:16" ht="12.75">
      <c r="B24" s="15"/>
      <c r="C24" s="16"/>
      <c r="D24" s="38"/>
      <c r="E24" s="63">
        <f t="shared" si="1"/>
        <v>9</v>
      </c>
      <c r="F24" s="108">
        <f t="shared" si="7"/>
        <v>42917</v>
      </c>
      <c r="G24" s="64">
        <f t="shared" si="5"/>
        <v>0.03</v>
      </c>
      <c r="H24" s="68">
        <f t="shared" si="6"/>
        <v>320499.0593</v>
      </c>
      <c r="I24" s="68">
        <f t="shared" si="2"/>
        <v>320499.0593</v>
      </c>
      <c r="J24" s="68">
        <f t="shared" si="3"/>
        <v>-1370.2131</v>
      </c>
      <c r="K24" s="68">
        <f t="shared" si="4"/>
        <v>-801.2476</v>
      </c>
      <c r="L24" s="68">
        <f t="shared" si="0"/>
        <v>-568.9655</v>
      </c>
      <c r="M24" s="69"/>
      <c r="N24" s="41"/>
      <c r="O24" s="22"/>
      <c r="P24" s="23"/>
    </row>
    <row r="25" spans="2:16" ht="12.75">
      <c r="B25" s="15"/>
      <c r="C25" s="16"/>
      <c r="D25" s="38"/>
      <c r="E25" s="63">
        <f t="shared" si="1"/>
        <v>10</v>
      </c>
      <c r="F25" s="108">
        <f t="shared" si="7"/>
        <v>42948</v>
      </c>
      <c r="G25" s="64">
        <f t="shared" si="5"/>
        <v>0.03</v>
      </c>
      <c r="H25" s="68">
        <f t="shared" si="6"/>
        <v>319930.09380000003</v>
      </c>
      <c r="I25" s="68">
        <f t="shared" si="2"/>
        <v>319930.0938</v>
      </c>
      <c r="J25" s="68">
        <f t="shared" si="3"/>
        <v>-1370.2131</v>
      </c>
      <c r="K25" s="68">
        <f t="shared" si="4"/>
        <v>-799.8252</v>
      </c>
      <c r="L25" s="68">
        <f t="shared" si="0"/>
        <v>-570.3879</v>
      </c>
      <c r="M25" s="69"/>
      <c r="N25" s="41"/>
      <c r="O25" s="22"/>
      <c r="P25" s="23"/>
    </row>
    <row r="26" spans="2:16" ht="12.75">
      <c r="B26" s="15"/>
      <c r="C26" s="16"/>
      <c r="D26" s="38"/>
      <c r="E26" s="63">
        <f t="shared" si="1"/>
        <v>11</v>
      </c>
      <c r="F26" s="108">
        <f t="shared" si="7"/>
        <v>42979</v>
      </c>
      <c r="G26" s="64">
        <f t="shared" si="5"/>
        <v>0.03</v>
      </c>
      <c r="H26" s="68">
        <f t="shared" si="6"/>
        <v>319359.70590000006</v>
      </c>
      <c r="I26" s="68">
        <f t="shared" si="2"/>
        <v>319359.7059</v>
      </c>
      <c r="J26" s="68">
        <f t="shared" si="3"/>
        <v>-1370.2131</v>
      </c>
      <c r="K26" s="68">
        <f t="shared" si="4"/>
        <v>-798.3993</v>
      </c>
      <c r="L26" s="68">
        <f t="shared" si="0"/>
        <v>-571.8138</v>
      </c>
      <c r="M26" s="69"/>
      <c r="N26" s="41"/>
      <c r="O26" s="22"/>
      <c r="P26" s="23"/>
    </row>
    <row r="27" spans="2:16" ht="12.75">
      <c r="B27" s="15"/>
      <c r="C27" s="16"/>
      <c r="D27" s="38"/>
      <c r="E27" s="63">
        <f t="shared" si="1"/>
        <v>12</v>
      </c>
      <c r="F27" s="108">
        <f t="shared" si="7"/>
        <v>43009</v>
      </c>
      <c r="G27" s="64">
        <f t="shared" si="5"/>
        <v>0.03</v>
      </c>
      <c r="H27" s="68">
        <f t="shared" si="6"/>
        <v>318787.89210000006</v>
      </c>
      <c r="I27" s="68">
        <f t="shared" si="2"/>
        <v>318787.8921</v>
      </c>
      <c r="J27" s="68">
        <f t="shared" si="3"/>
        <v>-1370.2131</v>
      </c>
      <c r="K27" s="68">
        <f t="shared" si="4"/>
        <v>-796.9697</v>
      </c>
      <c r="L27" s="68">
        <f t="shared" si="0"/>
        <v>-573.2434</v>
      </c>
      <c r="M27" s="69"/>
      <c r="N27" s="41"/>
      <c r="O27" s="22"/>
      <c r="P27" s="23"/>
    </row>
    <row r="28" spans="2:16" ht="12.75">
      <c r="B28" s="15"/>
      <c r="C28" s="16"/>
      <c r="D28" s="38"/>
      <c r="E28" s="63">
        <f t="shared" si="1"/>
        <v>13</v>
      </c>
      <c r="F28" s="108">
        <f t="shared" si="7"/>
        <v>43040</v>
      </c>
      <c r="G28" s="64">
        <f t="shared" si="5"/>
        <v>0.03</v>
      </c>
      <c r="H28" s="68">
        <f t="shared" si="6"/>
        <v>318214.6487000001</v>
      </c>
      <c r="I28" s="68">
        <f t="shared" si="2"/>
        <v>318214.6487</v>
      </c>
      <c r="J28" s="68">
        <f t="shared" si="3"/>
        <v>-1370.2131</v>
      </c>
      <c r="K28" s="68">
        <f t="shared" si="4"/>
        <v>-795.5366</v>
      </c>
      <c r="L28" s="68">
        <f t="shared" si="0"/>
        <v>-574.6765</v>
      </c>
      <c r="M28" s="69"/>
      <c r="N28" s="41"/>
      <c r="O28" s="22"/>
      <c r="P28" s="23"/>
    </row>
    <row r="29" spans="2:16" ht="12.75">
      <c r="B29" s="15"/>
      <c r="C29" s="16"/>
      <c r="D29" s="38"/>
      <c r="E29" s="63">
        <f t="shared" si="1"/>
        <v>14</v>
      </c>
      <c r="F29" s="108">
        <f t="shared" si="7"/>
        <v>43070</v>
      </c>
      <c r="G29" s="64">
        <f t="shared" si="5"/>
        <v>0.03</v>
      </c>
      <c r="H29" s="68">
        <f t="shared" si="6"/>
        <v>317639.9722000001</v>
      </c>
      <c r="I29" s="68">
        <f t="shared" si="2"/>
        <v>317639.9722</v>
      </c>
      <c r="J29" s="68">
        <f t="shared" si="3"/>
        <v>-1370.2131</v>
      </c>
      <c r="K29" s="68">
        <f t="shared" si="4"/>
        <v>-794.0999</v>
      </c>
      <c r="L29" s="68">
        <f t="shared" si="0"/>
        <v>-576.1132</v>
      </c>
      <c r="M29" s="69"/>
      <c r="N29" s="41"/>
      <c r="O29" s="22"/>
      <c r="P29" s="23"/>
    </row>
    <row r="30" spans="2:16" ht="12.75">
      <c r="B30" s="15"/>
      <c r="C30" s="16"/>
      <c r="D30" s="38"/>
      <c r="E30" s="63">
        <f t="shared" si="1"/>
        <v>15</v>
      </c>
      <c r="F30" s="108">
        <f t="shared" si="7"/>
        <v>43101</v>
      </c>
      <c r="G30" s="64">
        <f t="shared" si="5"/>
        <v>0.03</v>
      </c>
      <c r="H30" s="68">
        <f t="shared" si="6"/>
        <v>317063.85900000005</v>
      </c>
      <c r="I30" s="68">
        <f t="shared" si="2"/>
        <v>317063.859</v>
      </c>
      <c r="J30" s="68">
        <f t="shared" si="3"/>
        <v>-1370.2131</v>
      </c>
      <c r="K30" s="68">
        <f t="shared" si="4"/>
        <v>-792.6596</v>
      </c>
      <c r="L30" s="68">
        <f t="shared" si="0"/>
        <v>-577.5535</v>
      </c>
      <c r="M30" s="69"/>
      <c r="N30" s="41"/>
      <c r="O30" s="22"/>
      <c r="P30" s="23"/>
    </row>
    <row r="31" spans="2:16" ht="12.75">
      <c r="B31" s="15"/>
      <c r="C31" s="16"/>
      <c r="D31" s="38"/>
      <c r="E31" s="63">
        <f t="shared" si="1"/>
        <v>16</v>
      </c>
      <c r="F31" s="108">
        <f t="shared" si="7"/>
        <v>43132</v>
      </c>
      <c r="G31" s="64">
        <f t="shared" si="5"/>
        <v>0.03</v>
      </c>
      <c r="H31" s="68">
        <f t="shared" si="6"/>
        <v>316486.3055000001</v>
      </c>
      <c r="I31" s="68">
        <f t="shared" si="2"/>
        <v>316486.3055</v>
      </c>
      <c r="J31" s="68">
        <f t="shared" si="3"/>
        <v>-1370.2131</v>
      </c>
      <c r="K31" s="68">
        <f t="shared" si="4"/>
        <v>-791.2158</v>
      </c>
      <c r="L31" s="68">
        <f t="shared" si="0"/>
        <v>-578.9973</v>
      </c>
      <c r="M31" s="69"/>
      <c r="N31" s="41"/>
      <c r="O31" s="22"/>
      <c r="P31" s="23"/>
    </row>
    <row r="32" spans="2:16" ht="12.75">
      <c r="B32" s="15"/>
      <c r="C32" s="16"/>
      <c r="D32" s="38"/>
      <c r="E32" s="63">
        <f t="shared" si="1"/>
        <v>17</v>
      </c>
      <c r="F32" s="108">
        <f t="shared" si="7"/>
        <v>43160</v>
      </c>
      <c r="G32" s="64">
        <f t="shared" si="5"/>
        <v>0.03</v>
      </c>
      <c r="H32" s="68">
        <f t="shared" si="6"/>
        <v>315907.3082000001</v>
      </c>
      <c r="I32" s="68">
        <f t="shared" si="2"/>
        <v>315907.3082</v>
      </c>
      <c r="J32" s="68">
        <f t="shared" si="3"/>
        <v>-1370.2131</v>
      </c>
      <c r="K32" s="68">
        <f t="shared" si="4"/>
        <v>-789.7683</v>
      </c>
      <c r="L32" s="68">
        <f aca="true" t="shared" si="8" ref="L32:L47">-ROUND(MIN(I32,K32-J32),4)</f>
        <v>-580.4448</v>
      </c>
      <c r="M32" s="69"/>
      <c r="N32" s="41"/>
      <c r="O32" s="22"/>
      <c r="P32" s="23"/>
    </row>
    <row r="33" spans="2:16" ht="12.75">
      <c r="B33" s="15"/>
      <c r="C33" s="16"/>
      <c r="D33" s="38"/>
      <c r="E33" s="63">
        <f aca="true" t="shared" si="9" ref="E33:E48">1+E32</f>
        <v>18</v>
      </c>
      <c r="F33" s="108">
        <f t="shared" si="7"/>
        <v>43191</v>
      </c>
      <c r="G33" s="64">
        <f t="shared" si="5"/>
        <v>0.03</v>
      </c>
      <c r="H33" s="68">
        <f t="shared" si="6"/>
        <v>315326.8634000001</v>
      </c>
      <c r="I33" s="68">
        <f aca="true" t="shared" si="10" ref="I33:I48">IF(H32&gt;0.05,ROUND(I32+L32+M32,4),0)</f>
        <v>315326.8634</v>
      </c>
      <c r="J33" s="68">
        <f aca="true" t="shared" si="11" ref="J33:J48">IF(OR($C$12&lt;0.05,I33&lt;0.05,PERYR&lt;0.05,H33&lt;0.05),0,(ROUND(IF(J32+I33&lt;0,-I33+K33,IF($C$10=0,PMT(G33/PERYR,$C$11-E32,H33),-$C$13)),4)))</f>
        <v>-1370.2131</v>
      </c>
      <c r="K33" s="68">
        <f aca="true" t="shared" si="12" ref="K33:K48">IF(OR($C$12&lt;0.05,I33&lt;0.05,PERYR&lt;0.05,H33&lt;0.05),0,(ROUND(IPMT(G33/PERYR,1,$C$11-E32,I33),4)))</f>
        <v>-788.3172</v>
      </c>
      <c r="L33" s="68">
        <f t="shared" si="8"/>
        <v>-581.8959</v>
      </c>
      <c r="M33" s="69"/>
      <c r="N33" s="41"/>
      <c r="O33" s="22"/>
      <c r="P33" s="23"/>
    </row>
    <row r="34" spans="2:16" ht="12.75">
      <c r="B34" s="15"/>
      <c r="C34" s="16"/>
      <c r="D34" s="38"/>
      <c r="E34" s="63">
        <f t="shared" si="9"/>
        <v>19</v>
      </c>
      <c r="F34" s="108">
        <f t="shared" si="7"/>
        <v>43221</v>
      </c>
      <c r="G34" s="64">
        <f aca="true" t="shared" si="13" ref="G34:G49">IF(E34&lt;=data6*$C$12,G33,"")</f>
        <v>0.03</v>
      </c>
      <c r="H34" s="68">
        <f aca="true" t="shared" si="14" ref="H34:H49">IF(OR($C$12&lt;0.05,I34&lt;0.05,PERYR&lt;0.05),0,H33+ROUND(PPMT(G33/PERYR,1,$C$11-E33+1,H33),4))</f>
        <v>314744.9674000001</v>
      </c>
      <c r="I34" s="68">
        <f t="shared" si="10"/>
        <v>314744.9675</v>
      </c>
      <c r="J34" s="68">
        <f t="shared" si="11"/>
        <v>-1370.2131</v>
      </c>
      <c r="K34" s="68">
        <f t="shared" si="12"/>
        <v>-786.8624</v>
      </c>
      <c r="L34" s="68">
        <f t="shared" si="8"/>
        <v>-583.3507</v>
      </c>
      <c r="M34" s="69"/>
      <c r="N34" s="41"/>
      <c r="O34" s="22"/>
      <c r="P34" s="23"/>
    </row>
    <row r="35" spans="2:16" ht="12.75">
      <c r="B35" s="15"/>
      <c r="C35" s="16"/>
      <c r="D35" s="38"/>
      <c r="E35" s="63">
        <f t="shared" si="9"/>
        <v>20</v>
      </c>
      <c r="F35" s="108">
        <f aca="true" t="shared" si="15" ref="F35:F50">IF(H35&gt;0.01,DATE(YEAR($F$16),MONTH($F$16)+(E35-1)*12/PERYR,DAY($F$16)),"")</f>
        <v>43252</v>
      </c>
      <c r="G35" s="64">
        <f t="shared" si="13"/>
        <v>0.03</v>
      </c>
      <c r="H35" s="68">
        <f t="shared" si="14"/>
        <v>314161.6167000001</v>
      </c>
      <c r="I35" s="68">
        <f t="shared" si="10"/>
        <v>314161.6168</v>
      </c>
      <c r="J35" s="68">
        <f t="shared" si="11"/>
        <v>-1370.2131</v>
      </c>
      <c r="K35" s="68">
        <f t="shared" si="12"/>
        <v>-785.404</v>
      </c>
      <c r="L35" s="68">
        <f t="shared" si="8"/>
        <v>-584.8091</v>
      </c>
      <c r="M35" s="69"/>
      <c r="N35" s="41"/>
      <c r="O35" s="22"/>
      <c r="P35" s="23"/>
    </row>
    <row r="36" spans="2:16" ht="12.75">
      <c r="B36" s="15"/>
      <c r="C36" s="16"/>
      <c r="D36" s="38"/>
      <c r="E36" s="63">
        <f t="shared" si="9"/>
        <v>21</v>
      </c>
      <c r="F36" s="108">
        <f t="shared" si="15"/>
        <v>43282</v>
      </c>
      <c r="G36" s="64">
        <f t="shared" si="13"/>
        <v>0.03</v>
      </c>
      <c r="H36" s="68">
        <f t="shared" si="14"/>
        <v>313576.80760000006</v>
      </c>
      <c r="I36" s="68">
        <f t="shared" si="10"/>
        <v>313576.8077</v>
      </c>
      <c r="J36" s="68">
        <f t="shared" si="11"/>
        <v>-1370.2131</v>
      </c>
      <c r="K36" s="68">
        <f t="shared" si="12"/>
        <v>-783.942</v>
      </c>
      <c r="L36" s="68">
        <f t="shared" si="8"/>
        <v>-586.2711</v>
      </c>
      <c r="M36" s="69"/>
      <c r="N36" s="41"/>
      <c r="O36" s="22"/>
      <c r="P36" s="23"/>
    </row>
    <row r="37" spans="2:16" ht="12.75">
      <c r="B37" s="15"/>
      <c r="C37" s="16"/>
      <c r="D37" s="38"/>
      <c r="E37" s="63">
        <f t="shared" si="9"/>
        <v>22</v>
      </c>
      <c r="F37" s="108">
        <f t="shared" si="15"/>
        <v>43313</v>
      </c>
      <c r="G37" s="64">
        <f t="shared" si="13"/>
        <v>0.03</v>
      </c>
      <c r="H37" s="68">
        <f t="shared" si="14"/>
        <v>312990.53650000005</v>
      </c>
      <c r="I37" s="68">
        <f t="shared" si="10"/>
        <v>312990.5366</v>
      </c>
      <c r="J37" s="68">
        <f t="shared" si="11"/>
        <v>-1370.2131</v>
      </c>
      <c r="K37" s="68">
        <f t="shared" si="12"/>
        <v>-782.4763</v>
      </c>
      <c r="L37" s="68">
        <f t="shared" si="8"/>
        <v>-587.7368</v>
      </c>
      <c r="M37" s="69"/>
      <c r="N37" s="41"/>
      <c r="O37" s="22"/>
      <c r="P37" s="23"/>
    </row>
    <row r="38" spans="2:16" ht="12.75">
      <c r="B38" s="15"/>
      <c r="C38" s="16"/>
      <c r="D38" s="38"/>
      <c r="E38" s="63">
        <f t="shared" si="9"/>
        <v>23</v>
      </c>
      <c r="F38" s="108">
        <f t="shared" si="15"/>
        <v>43344</v>
      </c>
      <c r="G38" s="64">
        <f t="shared" si="13"/>
        <v>0.03</v>
      </c>
      <c r="H38" s="68">
        <f t="shared" si="14"/>
        <v>312402.79970000003</v>
      </c>
      <c r="I38" s="68">
        <f t="shared" si="10"/>
        <v>312402.7998</v>
      </c>
      <c r="J38" s="68">
        <f t="shared" si="11"/>
        <v>-1370.2131</v>
      </c>
      <c r="K38" s="68">
        <f t="shared" si="12"/>
        <v>-781.007</v>
      </c>
      <c r="L38" s="68">
        <f t="shared" si="8"/>
        <v>-589.2061</v>
      </c>
      <c r="M38" s="69"/>
      <c r="N38" s="41"/>
      <c r="O38" s="22"/>
      <c r="P38" s="23"/>
    </row>
    <row r="39" spans="2:16" ht="12.75">
      <c r="B39" s="15"/>
      <c r="C39" s="16"/>
      <c r="D39" s="38"/>
      <c r="E39" s="63">
        <f t="shared" si="9"/>
        <v>24</v>
      </c>
      <c r="F39" s="108">
        <f t="shared" si="15"/>
        <v>43374</v>
      </c>
      <c r="G39" s="64">
        <f t="shared" si="13"/>
        <v>0.03</v>
      </c>
      <c r="H39" s="68">
        <f t="shared" si="14"/>
        <v>311813.5936</v>
      </c>
      <c r="I39" s="68">
        <f t="shared" si="10"/>
        <v>311813.5937</v>
      </c>
      <c r="J39" s="68">
        <f t="shared" si="11"/>
        <v>-1370.2131</v>
      </c>
      <c r="K39" s="68">
        <f t="shared" si="12"/>
        <v>-779.534</v>
      </c>
      <c r="L39" s="68">
        <f t="shared" si="8"/>
        <v>-590.6791</v>
      </c>
      <c r="M39" s="69"/>
      <c r="N39" s="41"/>
      <c r="O39" s="22"/>
      <c r="P39" s="23"/>
    </row>
    <row r="40" spans="2:16" ht="12.75">
      <c r="B40" s="15"/>
      <c r="C40" s="16"/>
      <c r="D40" s="38"/>
      <c r="E40" s="63">
        <f t="shared" si="9"/>
        <v>25</v>
      </c>
      <c r="F40" s="108">
        <f t="shared" si="15"/>
        <v>43405</v>
      </c>
      <c r="G40" s="64">
        <f t="shared" si="13"/>
        <v>0.03</v>
      </c>
      <c r="H40" s="68">
        <f t="shared" si="14"/>
        <v>311222.9145</v>
      </c>
      <c r="I40" s="68">
        <f t="shared" si="10"/>
        <v>311222.9146</v>
      </c>
      <c r="J40" s="68">
        <f t="shared" si="11"/>
        <v>-1370.2131</v>
      </c>
      <c r="K40" s="68">
        <f t="shared" si="12"/>
        <v>-778.0573</v>
      </c>
      <c r="L40" s="68">
        <f t="shared" si="8"/>
        <v>-592.1558</v>
      </c>
      <c r="M40" s="69"/>
      <c r="N40" s="41"/>
      <c r="O40" s="22"/>
      <c r="P40" s="23"/>
    </row>
    <row r="41" spans="2:16" ht="12.75">
      <c r="B41" s="15"/>
      <c r="C41" s="16"/>
      <c r="D41" s="38"/>
      <c r="E41" s="63">
        <f t="shared" si="9"/>
        <v>26</v>
      </c>
      <c r="F41" s="108">
        <f t="shared" si="15"/>
        <v>43435</v>
      </c>
      <c r="G41" s="64">
        <f t="shared" si="13"/>
        <v>0.03</v>
      </c>
      <c r="H41" s="68">
        <f t="shared" si="14"/>
        <v>310630.7587</v>
      </c>
      <c r="I41" s="68">
        <f t="shared" si="10"/>
        <v>310630.7588</v>
      </c>
      <c r="J41" s="68">
        <f t="shared" si="11"/>
        <v>-1370.2131</v>
      </c>
      <c r="K41" s="68">
        <f t="shared" si="12"/>
        <v>-776.5769</v>
      </c>
      <c r="L41" s="68">
        <f t="shared" si="8"/>
        <v>-593.6362</v>
      </c>
      <c r="M41" s="69"/>
      <c r="N41" s="41"/>
      <c r="O41" s="22"/>
      <c r="P41" s="23"/>
    </row>
    <row r="42" spans="2:16" ht="12.75">
      <c r="B42" s="15"/>
      <c r="C42" s="16"/>
      <c r="D42" s="38"/>
      <c r="E42" s="63">
        <f t="shared" si="9"/>
        <v>27</v>
      </c>
      <c r="F42" s="108">
        <f t="shared" si="15"/>
        <v>43466</v>
      </c>
      <c r="G42" s="64">
        <f t="shared" si="13"/>
        <v>0.03</v>
      </c>
      <c r="H42" s="68">
        <f t="shared" si="14"/>
        <v>310037.1225</v>
      </c>
      <c r="I42" s="68">
        <f t="shared" si="10"/>
        <v>310037.1226</v>
      </c>
      <c r="J42" s="68">
        <f t="shared" si="11"/>
        <v>-1370.2131</v>
      </c>
      <c r="K42" s="68">
        <f t="shared" si="12"/>
        <v>-775.0928</v>
      </c>
      <c r="L42" s="68">
        <f t="shared" si="8"/>
        <v>-595.1203</v>
      </c>
      <c r="M42" s="69"/>
      <c r="N42" s="41"/>
      <c r="O42" s="22"/>
      <c r="P42" s="23"/>
    </row>
    <row r="43" spans="2:16" ht="12.75">
      <c r="B43" s="15"/>
      <c r="C43" s="16"/>
      <c r="D43" s="38"/>
      <c r="E43" s="63">
        <f t="shared" si="9"/>
        <v>28</v>
      </c>
      <c r="F43" s="108">
        <f t="shared" si="15"/>
        <v>43497</v>
      </c>
      <c r="G43" s="64">
        <f t="shared" si="13"/>
        <v>0.03</v>
      </c>
      <c r="H43" s="68">
        <f t="shared" si="14"/>
        <v>309442.0022</v>
      </c>
      <c r="I43" s="68">
        <f t="shared" si="10"/>
        <v>309442.0023</v>
      </c>
      <c r="J43" s="68">
        <f t="shared" si="11"/>
        <v>-1370.2131</v>
      </c>
      <c r="K43" s="68">
        <f t="shared" si="12"/>
        <v>-773.605</v>
      </c>
      <c r="L43" s="68">
        <f t="shared" si="8"/>
        <v>-596.6081</v>
      </c>
      <c r="M43" s="69"/>
      <c r="N43" s="41"/>
      <c r="O43" s="22"/>
      <c r="P43" s="23"/>
    </row>
    <row r="44" spans="2:16" ht="12.75">
      <c r="B44" s="15"/>
      <c r="C44" s="16"/>
      <c r="D44" s="38"/>
      <c r="E44" s="63">
        <f t="shared" si="9"/>
        <v>29</v>
      </c>
      <c r="F44" s="108">
        <f t="shared" si="15"/>
        <v>43525</v>
      </c>
      <c r="G44" s="64">
        <f t="shared" si="13"/>
        <v>0.03</v>
      </c>
      <c r="H44" s="68">
        <f t="shared" si="14"/>
        <v>308845.3941</v>
      </c>
      <c r="I44" s="68">
        <f t="shared" si="10"/>
        <v>308845.3942</v>
      </c>
      <c r="J44" s="68">
        <f t="shared" si="11"/>
        <v>-1370.2131</v>
      </c>
      <c r="K44" s="68">
        <f t="shared" si="12"/>
        <v>-772.1135</v>
      </c>
      <c r="L44" s="68">
        <f t="shared" si="8"/>
        <v>-598.0996</v>
      </c>
      <c r="M44" s="69"/>
      <c r="N44" s="41"/>
      <c r="O44" s="22"/>
      <c r="P44" s="23"/>
    </row>
    <row r="45" spans="2:16" ht="12.75">
      <c r="B45" s="15"/>
      <c r="C45" s="16"/>
      <c r="D45" s="38"/>
      <c r="E45" s="63">
        <f t="shared" si="9"/>
        <v>30</v>
      </c>
      <c r="F45" s="108">
        <f t="shared" si="15"/>
        <v>43556</v>
      </c>
      <c r="G45" s="64">
        <f t="shared" si="13"/>
        <v>0.03</v>
      </c>
      <c r="H45" s="68">
        <f t="shared" si="14"/>
        <v>308247.29449999996</v>
      </c>
      <c r="I45" s="68">
        <f t="shared" si="10"/>
        <v>308247.2946</v>
      </c>
      <c r="J45" s="68">
        <f t="shared" si="11"/>
        <v>-1370.2131</v>
      </c>
      <c r="K45" s="68">
        <f t="shared" si="12"/>
        <v>-770.6182</v>
      </c>
      <c r="L45" s="68">
        <f t="shared" si="8"/>
        <v>-599.5949</v>
      </c>
      <c r="M45" s="69"/>
      <c r="N45" s="41"/>
      <c r="O45" s="22"/>
      <c r="P45" s="23"/>
    </row>
    <row r="46" spans="2:16" ht="12.75">
      <c r="B46" s="15"/>
      <c r="C46" s="16"/>
      <c r="D46" s="38"/>
      <c r="E46" s="63">
        <f t="shared" si="9"/>
        <v>31</v>
      </c>
      <c r="F46" s="108">
        <f t="shared" si="15"/>
        <v>43586</v>
      </c>
      <c r="G46" s="64">
        <f t="shared" si="13"/>
        <v>0.03</v>
      </c>
      <c r="H46" s="68">
        <f t="shared" si="14"/>
        <v>307647.69959999993</v>
      </c>
      <c r="I46" s="68">
        <f t="shared" si="10"/>
        <v>307647.6997</v>
      </c>
      <c r="J46" s="68">
        <f t="shared" si="11"/>
        <v>-1370.2131</v>
      </c>
      <c r="K46" s="68">
        <f t="shared" si="12"/>
        <v>-769.1192</v>
      </c>
      <c r="L46" s="68">
        <f t="shared" si="8"/>
        <v>-601.0939</v>
      </c>
      <c r="M46" s="69"/>
      <c r="N46" s="41"/>
      <c r="O46" s="22"/>
      <c r="P46" s="23"/>
    </row>
    <row r="47" spans="2:16" ht="12.75">
      <c r="B47" s="15"/>
      <c r="C47" s="16"/>
      <c r="D47" s="38"/>
      <c r="E47" s="63">
        <f t="shared" si="9"/>
        <v>32</v>
      </c>
      <c r="F47" s="108">
        <f t="shared" si="15"/>
        <v>43617</v>
      </c>
      <c r="G47" s="64">
        <f t="shared" si="13"/>
        <v>0.03</v>
      </c>
      <c r="H47" s="68">
        <f t="shared" si="14"/>
        <v>307046.60569999996</v>
      </c>
      <c r="I47" s="68">
        <f t="shared" si="10"/>
        <v>307046.6058</v>
      </c>
      <c r="J47" s="68">
        <f t="shared" si="11"/>
        <v>-1370.2131</v>
      </c>
      <c r="K47" s="68">
        <f t="shared" si="12"/>
        <v>-767.6165</v>
      </c>
      <c r="L47" s="68">
        <f t="shared" si="8"/>
        <v>-602.5966</v>
      </c>
      <c r="M47" s="69"/>
      <c r="N47" s="41"/>
      <c r="O47" s="22"/>
      <c r="P47" s="23"/>
    </row>
    <row r="48" spans="2:16" ht="12.75">
      <c r="B48" s="15"/>
      <c r="C48" s="16"/>
      <c r="D48" s="38"/>
      <c r="E48" s="63">
        <f t="shared" si="9"/>
        <v>33</v>
      </c>
      <c r="F48" s="108">
        <f t="shared" si="15"/>
        <v>43647</v>
      </c>
      <c r="G48" s="64">
        <f t="shared" si="13"/>
        <v>0.03</v>
      </c>
      <c r="H48" s="68">
        <f t="shared" si="14"/>
        <v>306444.00909999997</v>
      </c>
      <c r="I48" s="68">
        <f t="shared" si="10"/>
        <v>306444.0092</v>
      </c>
      <c r="J48" s="68">
        <f t="shared" si="11"/>
        <v>-1370.2131</v>
      </c>
      <c r="K48" s="68">
        <f t="shared" si="12"/>
        <v>-766.11</v>
      </c>
      <c r="L48" s="68">
        <f aca="true" t="shared" si="16" ref="L48:L62">-ROUND(MIN(I48,K48-J48),4)</f>
        <v>-604.1031</v>
      </c>
      <c r="M48" s="69"/>
      <c r="N48" s="41"/>
      <c r="O48" s="22"/>
      <c r="P48" s="23"/>
    </row>
    <row r="49" spans="2:16" ht="12.75">
      <c r="B49" s="15"/>
      <c r="C49" s="16"/>
      <c r="D49" s="38"/>
      <c r="E49" s="63">
        <f aca="true" t="shared" si="17" ref="E49:E64">1+E48</f>
        <v>34</v>
      </c>
      <c r="F49" s="108">
        <f t="shared" si="15"/>
        <v>43678</v>
      </c>
      <c r="G49" s="64">
        <f t="shared" si="13"/>
        <v>0.03</v>
      </c>
      <c r="H49" s="68">
        <f t="shared" si="14"/>
        <v>305839.90599999996</v>
      </c>
      <c r="I49" s="68">
        <f aca="true" t="shared" si="18" ref="I49:I62">IF(H48&gt;0.05,ROUND(I48+L48+M48,4),0)</f>
        <v>305839.9061</v>
      </c>
      <c r="J49" s="68">
        <f aca="true" t="shared" si="19" ref="J49:J62">IF(OR($C$12&lt;0.05,I49&lt;0.05,PERYR&lt;0.05,H49&lt;0.05),0,(ROUND(IF(J48+I49&lt;0,-I49+K49,IF($C$10=0,PMT(G49/PERYR,$C$11-E48,H49),-$C$13)),4)))</f>
        <v>-1370.2131</v>
      </c>
      <c r="K49" s="68">
        <f aca="true" t="shared" si="20" ref="K49:K62">IF(OR($C$12&lt;0.05,I49&lt;0.05,PERYR&lt;0.05,H49&lt;0.05),0,(ROUND(IPMT(G49/PERYR,1,$C$11-E48,I49),4)))</f>
        <v>-764.5998</v>
      </c>
      <c r="L49" s="68">
        <f t="shared" si="16"/>
        <v>-605.6133</v>
      </c>
      <c r="M49" s="69"/>
      <c r="N49" s="41"/>
      <c r="O49" s="22"/>
      <c r="P49" s="23"/>
    </row>
    <row r="50" spans="2:16" ht="12.75">
      <c r="B50" s="15"/>
      <c r="C50" s="16"/>
      <c r="D50" s="38"/>
      <c r="E50" s="63">
        <f t="shared" si="17"/>
        <v>35</v>
      </c>
      <c r="F50" s="108">
        <f t="shared" si="15"/>
        <v>43709</v>
      </c>
      <c r="G50" s="64">
        <f aca="true" t="shared" si="21" ref="G50:G62">IF(E50&lt;=data6*$C$12,G49,"")</f>
        <v>0.03</v>
      </c>
      <c r="H50" s="68">
        <f aca="true" t="shared" si="22" ref="H50:H62">IF(OR($C$12&lt;0.05,I50&lt;0.05,PERYR&lt;0.05),0,H49+ROUND(PPMT(G49/PERYR,1,$C$11-E49+1,H49),4))</f>
        <v>305234.29269999993</v>
      </c>
      <c r="I50" s="68">
        <f t="shared" si="18"/>
        <v>305234.2928</v>
      </c>
      <c r="J50" s="68">
        <f t="shared" si="19"/>
        <v>-1370.2131</v>
      </c>
      <c r="K50" s="68">
        <f t="shared" si="20"/>
        <v>-763.0857</v>
      </c>
      <c r="L50" s="68">
        <f t="shared" si="16"/>
        <v>-607.1274</v>
      </c>
      <c r="M50" s="69"/>
      <c r="N50" s="41"/>
      <c r="O50" s="22"/>
      <c r="P50" s="23"/>
    </row>
    <row r="51" spans="2:16" ht="12.75">
      <c r="B51" s="15"/>
      <c r="C51" s="16"/>
      <c r="D51" s="38"/>
      <c r="E51" s="63">
        <f t="shared" si="17"/>
        <v>36</v>
      </c>
      <c r="F51" s="108">
        <f aca="true" t="shared" si="23" ref="F51:F66">IF(H51&gt;0.01,DATE(YEAR($F$16),MONTH($F$16)+(E51-1)*12/PERYR,DAY($F$16)),"")</f>
        <v>43739</v>
      </c>
      <c r="G51" s="64">
        <f t="shared" si="21"/>
        <v>0.03</v>
      </c>
      <c r="H51" s="68">
        <f t="shared" si="22"/>
        <v>304627.16529999994</v>
      </c>
      <c r="I51" s="68">
        <f t="shared" si="18"/>
        <v>304627.1654</v>
      </c>
      <c r="J51" s="68">
        <f t="shared" si="19"/>
        <v>-1370.2131</v>
      </c>
      <c r="K51" s="68">
        <f t="shared" si="20"/>
        <v>-761.5679</v>
      </c>
      <c r="L51" s="68">
        <f t="shared" si="16"/>
        <v>-608.6452</v>
      </c>
      <c r="M51" s="69"/>
      <c r="N51" s="41"/>
      <c r="O51" s="22"/>
      <c r="P51" s="23"/>
    </row>
    <row r="52" spans="2:16" ht="12.75">
      <c r="B52" s="15"/>
      <c r="C52" s="16"/>
      <c r="D52" s="38"/>
      <c r="E52" s="63">
        <f t="shared" si="17"/>
        <v>37</v>
      </c>
      <c r="F52" s="108">
        <f t="shared" si="23"/>
        <v>43770</v>
      </c>
      <c r="G52" s="64">
        <f t="shared" si="21"/>
        <v>0.03</v>
      </c>
      <c r="H52" s="68">
        <f t="shared" si="22"/>
        <v>304018.5200999999</v>
      </c>
      <c r="I52" s="68">
        <f t="shared" si="18"/>
        <v>304018.5202</v>
      </c>
      <c r="J52" s="68">
        <f t="shared" si="19"/>
        <v>-1370.2131</v>
      </c>
      <c r="K52" s="68">
        <f t="shared" si="20"/>
        <v>-760.0463</v>
      </c>
      <c r="L52" s="68">
        <f t="shared" si="16"/>
        <v>-610.1668</v>
      </c>
      <c r="M52" s="69"/>
      <c r="N52" s="41"/>
      <c r="O52" s="22"/>
      <c r="P52" s="23"/>
    </row>
    <row r="53" spans="2:16" ht="12.75">
      <c r="B53" s="15"/>
      <c r="C53" s="16"/>
      <c r="D53" s="38"/>
      <c r="E53" s="63">
        <f t="shared" si="17"/>
        <v>38</v>
      </c>
      <c r="F53" s="108">
        <f t="shared" si="23"/>
        <v>43800</v>
      </c>
      <c r="G53" s="64">
        <f t="shared" si="21"/>
        <v>0.03</v>
      </c>
      <c r="H53" s="68">
        <f t="shared" si="22"/>
        <v>303408.3532999999</v>
      </c>
      <c r="I53" s="68">
        <f t="shared" si="18"/>
        <v>303408.3534</v>
      </c>
      <c r="J53" s="68">
        <f t="shared" si="19"/>
        <v>-1370.2131</v>
      </c>
      <c r="K53" s="68">
        <f t="shared" si="20"/>
        <v>-758.5209</v>
      </c>
      <c r="L53" s="68">
        <f t="shared" si="16"/>
        <v>-611.6922</v>
      </c>
      <c r="M53" s="69"/>
      <c r="N53" s="41"/>
      <c r="O53" s="22"/>
      <c r="P53" s="23"/>
    </row>
    <row r="54" spans="2:16" ht="12.75">
      <c r="B54" s="15"/>
      <c r="C54" s="16"/>
      <c r="D54" s="38"/>
      <c r="E54" s="63">
        <f t="shared" si="17"/>
        <v>39</v>
      </c>
      <c r="F54" s="108">
        <f t="shared" si="23"/>
        <v>43831</v>
      </c>
      <c r="G54" s="64">
        <f t="shared" si="21"/>
        <v>0.03</v>
      </c>
      <c r="H54" s="68">
        <f t="shared" si="22"/>
        <v>302796.6610999999</v>
      </c>
      <c r="I54" s="68">
        <f t="shared" si="18"/>
        <v>302796.6612</v>
      </c>
      <c r="J54" s="68">
        <f t="shared" si="19"/>
        <v>-1370.2131</v>
      </c>
      <c r="K54" s="68">
        <f t="shared" si="20"/>
        <v>-756.9917</v>
      </c>
      <c r="L54" s="68">
        <f t="shared" si="16"/>
        <v>-613.2214</v>
      </c>
      <c r="M54" s="69"/>
      <c r="N54" s="41"/>
      <c r="O54" s="22"/>
      <c r="P54" s="23"/>
    </row>
    <row r="55" spans="2:16" ht="12.75">
      <c r="B55" s="15"/>
      <c r="C55" s="16"/>
      <c r="D55" s="38"/>
      <c r="E55" s="63">
        <f t="shared" si="17"/>
        <v>40</v>
      </c>
      <c r="F55" s="108">
        <f t="shared" si="23"/>
        <v>43862</v>
      </c>
      <c r="G55" s="64">
        <f t="shared" si="21"/>
        <v>0.03</v>
      </c>
      <c r="H55" s="68">
        <f t="shared" si="22"/>
        <v>302183.4395999999</v>
      </c>
      <c r="I55" s="68">
        <f t="shared" si="18"/>
        <v>302183.4398</v>
      </c>
      <c r="J55" s="68">
        <f t="shared" si="19"/>
        <v>-1370.2131</v>
      </c>
      <c r="K55" s="68">
        <f t="shared" si="20"/>
        <v>-755.4586</v>
      </c>
      <c r="L55" s="68">
        <f t="shared" si="16"/>
        <v>-614.7545</v>
      </c>
      <c r="M55" s="69"/>
      <c r="N55" s="41"/>
      <c r="O55" s="22"/>
      <c r="P55" s="23"/>
    </row>
    <row r="56" spans="2:16" ht="12.75">
      <c r="B56" s="15"/>
      <c r="C56" s="16"/>
      <c r="D56" s="38"/>
      <c r="E56" s="63">
        <f t="shared" si="17"/>
        <v>41</v>
      </c>
      <c r="F56" s="108">
        <f t="shared" si="23"/>
        <v>43891</v>
      </c>
      <c r="G56" s="64">
        <f t="shared" si="21"/>
        <v>0.03</v>
      </c>
      <c r="H56" s="68">
        <f t="shared" si="22"/>
        <v>301568.68509999994</v>
      </c>
      <c r="I56" s="68">
        <f t="shared" si="18"/>
        <v>301568.6853</v>
      </c>
      <c r="J56" s="68">
        <f t="shared" si="19"/>
        <v>-1370.2131</v>
      </c>
      <c r="K56" s="68">
        <f t="shared" si="20"/>
        <v>-753.9217</v>
      </c>
      <c r="L56" s="68">
        <f t="shared" si="16"/>
        <v>-616.2914</v>
      </c>
      <c r="M56" s="69"/>
      <c r="N56" s="41"/>
      <c r="O56" s="22"/>
      <c r="P56" s="23"/>
    </row>
    <row r="57" spans="2:16" ht="12.75">
      <c r="B57" s="15"/>
      <c r="C57" s="16"/>
      <c r="D57" s="38"/>
      <c r="E57" s="63">
        <f t="shared" si="17"/>
        <v>42</v>
      </c>
      <c r="F57" s="108">
        <f t="shared" si="23"/>
        <v>43922</v>
      </c>
      <c r="G57" s="64">
        <f t="shared" si="21"/>
        <v>0.03</v>
      </c>
      <c r="H57" s="68">
        <f t="shared" si="22"/>
        <v>300952.39369999996</v>
      </c>
      <c r="I57" s="68">
        <f t="shared" si="18"/>
        <v>300952.3939</v>
      </c>
      <c r="J57" s="68">
        <f t="shared" si="19"/>
        <v>-1370.2131</v>
      </c>
      <c r="K57" s="68">
        <f t="shared" si="20"/>
        <v>-752.381</v>
      </c>
      <c r="L57" s="68">
        <f t="shared" si="16"/>
        <v>-617.8321</v>
      </c>
      <c r="M57" s="69"/>
      <c r="N57" s="41"/>
      <c r="O57" s="22"/>
      <c r="P57" s="23"/>
    </row>
    <row r="58" spans="2:16" ht="12.75">
      <c r="B58" s="15"/>
      <c r="C58" s="16"/>
      <c r="D58" s="38"/>
      <c r="E58" s="63">
        <f t="shared" si="17"/>
        <v>43</v>
      </c>
      <c r="F58" s="108">
        <f t="shared" si="23"/>
        <v>43952</v>
      </c>
      <c r="G58" s="64">
        <f t="shared" si="21"/>
        <v>0.03</v>
      </c>
      <c r="H58" s="68">
        <f t="shared" si="22"/>
        <v>300334.56159999996</v>
      </c>
      <c r="I58" s="68">
        <f t="shared" si="18"/>
        <v>300334.5618</v>
      </c>
      <c r="J58" s="68">
        <f t="shared" si="19"/>
        <v>-1370.2131</v>
      </c>
      <c r="K58" s="68">
        <f t="shared" si="20"/>
        <v>-750.8364</v>
      </c>
      <c r="L58" s="68">
        <f t="shared" si="16"/>
        <v>-619.3767</v>
      </c>
      <c r="M58" s="69"/>
      <c r="N58" s="41"/>
      <c r="O58" s="22"/>
      <c r="P58" s="23"/>
    </row>
    <row r="59" spans="2:16" ht="12.75">
      <c r="B59" s="15"/>
      <c r="C59" s="16"/>
      <c r="D59" s="38"/>
      <c r="E59" s="63">
        <f t="shared" si="17"/>
        <v>44</v>
      </c>
      <c r="F59" s="108">
        <f t="shared" si="23"/>
        <v>43983</v>
      </c>
      <c r="G59" s="64">
        <f t="shared" si="21"/>
        <v>0.03</v>
      </c>
      <c r="H59" s="68">
        <f t="shared" si="22"/>
        <v>299715.18489999993</v>
      </c>
      <c r="I59" s="68">
        <f t="shared" si="18"/>
        <v>299715.1851</v>
      </c>
      <c r="J59" s="68">
        <f t="shared" si="19"/>
        <v>-1370.2131</v>
      </c>
      <c r="K59" s="68">
        <f t="shared" si="20"/>
        <v>-749.288</v>
      </c>
      <c r="L59" s="68">
        <f t="shared" si="16"/>
        <v>-620.9251</v>
      </c>
      <c r="M59" s="69"/>
      <c r="N59" s="41"/>
      <c r="O59" s="22"/>
      <c r="P59" s="23"/>
    </row>
    <row r="60" spans="2:16" ht="12.75">
      <c r="B60" s="15"/>
      <c r="C60" s="16"/>
      <c r="D60" s="38"/>
      <c r="E60" s="63">
        <f t="shared" si="17"/>
        <v>45</v>
      </c>
      <c r="F60" s="108">
        <f t="shared" si="23"/>
        <v>44013</v>
      </c>
      <c r="G60" s="64">
        <f t="shared" si="21"/>
        <v>0.03</v>
      </c>
      <c r="H60" s="68">
        <f t="shared" si="22"/>
        <v>299094.25979999994</v>
      </c>
      <c r="I60" s="68">
        <f t="shared" si="18"/>
        <v>299094.26</v>
      </c>
      <c r="J60" s="68">
        <f t="shared" si="19"/>
        <v>-1370.2131</v>
      </c>
      <c r="K60" s="68">
        <f t="shared" si="20"/>
        <v>-747.7357</v>
      </c>
      <c r="L60" s="68">
        <f t="shared" si="16"/>
        <v>-622.4774</v>
      </c>
      <c r="M60" s="69"/>
      <c r="N60" s="41"/>
      <c r="O60" s="22"/>
      <c r="P60" s="23"/>
    </row>
    <row r="61" spans="2:16" ht="12.75">
      <c r="B61" s="15"/>
      <c r="C61" s="16"/>
      <c r="D61" s="38"/>
      <c r="E61" s="63">
        <f t="shared" si="17"/>
        <v>46</v>
      </c>
      <c r="F61" s="108">
        <f t="shared" si="23"/>
        <v>44044</v>
      </c>
      <c r="G61" s="64">
        <f t="shared" si="21"/>
        <v>0.03</v>
      </c>
      <c r="H61" s="68">
        <f t="shared" si="22"/>
        <v>298471.78229999996</v>
      </c>
      <c r="I61" s="68">
        <f t="shared" si="18"/>
        <v>298471.7826</v>
      </c>
      <c r="J61" s="68">
        <f t="shared" si="19"/>
        <v>-1370.2131</v>
      </c>
      <c r="K61" s="68">
        <f t="shared" si="20"/>
        <v>-746.1795</v>
      </c>
      <c r="L61" s="68">
        <f t="shared" si="16"/>
        <v>-624.0336</v>
      </c>
      <c r="M61" s="69"/>
      <c r="N61" s="41"/>
      <c r="O61" s="22"/>
      <c r="P61" s="23"/>
    </row>
    <row r="62" spans="2:16" ht="12.75">
      <c r="B62" s="15"/>
      <c r="C62" s="16"/>
      <c r="D62" s="38"/>
      <c r="E62" s="63">
        <f t="shared" si="17"/>
        <v>47</v>
      </c>
      <c r="F62" s="108">
        <f t="shared" si="23"/>
        <v>44075</v>
      </c>
      <c r="G62" s="64">
        <f t="shared" si="21"/>
        <v>0.03</v>
      </c>
      <c r="H62" s="68">
        <f t="shared" si="22"/>
        <v>297847.74859999993</v>
      </c>
      <c r="I62" s="68">
        <f t="shared" si="18"/>
        <v>297847.749</v>
      </c>
      <c r="J62" s="68">
        <f t="shared" si="19"/>
        <v>-1370.2131</v>
      </c>
      <c r="K62" s="68">
        <f t="shared" si="20"/>
        <v>-744.6194</v>
      </c>
      <c r="L62" s="68">
        <f t="shared" si="16"/>
        <v>-625.5937</v>
      </c>
      <c r="M62" s="69"/>
      <c r="N62" s="41"/>
      <c r="O62" s="22"/>
      <c r="P62" s="23"/>
    </row>
    <row r="63" spans="2:16" ht="12.75">
      <c r="B63" s="15"/>
      <c r="C63" s="16"/>
      <c r="D63" s="38"/>
      <c r="E63" s="63">
        <f t="shared" si="17"/>
        <v>48</v>
      </c>
      <c r="F63" s="108">
        <f t="shared" si="23"/>
        <v>44105</v>
      </c>
      <c r="G63" s="64">
        <f aca="true" t="shared" si="24" ref="G63:G78">IF(E63&lt;=data6*$C$12,G62,"")</f>
        <v>0.03</v>
      </c>
      <c r="H63" s="68">
        <f aca="true" t="shared" si="25" ref="H63:H78">IF(OR($C$12&lt;0.05,I63&lt;0.05,PERYR&lt;0.05),0,H62+ROUND(PPMT(G62/PERYR,1,$C$11-E62+1,H62),4))</f>
        <v>297222.1548999999</v>
      </c>
      <c r="I63" s="68">
        <f aca="true" t="shared" si="26" ref="I63:I78">IF(H62&gt;0.05,ROUND(I62+L62+M62,4),0)</f>
        <v>297222.1553</v>
      </c>
      <c r="J63" s="68">
        <f aca="true" t="shared" si="27" ref="J63:J78">IF(OR($C$12&lt;0.05,I63&lt;0.05,PERYR&lt;0.05,H63&lt;0.05),0,(ROUND(IF(J62+I63&lt;0,-I63+K63,IF($C$10=0,PMT(G63/PERYR,$C$11-E62,H63),-$C$13)),4)))</f>
        <v>-1370.2131</v>
      </c>
      <c r="K63" s="68">
        <f aca="true" t="shared" si="28" ref="K63:K78">IF(OR($C$12&lt;0.05,I63&lt;0.05,PERYR&lt;0.05,H63&lt;0.05),0,(ROUND(IPMT(G63/PERYR,1,$C$11-E62,I63),4)))</f>
        <v>-743.0554</v>
      </c>
      <c r="L63" s="68">
        <f aca="true" t="shared" si="29" ref="L63:L78">-ROUND(MIN(I63,K63-J63),4)</f>
        <v>-627.1577</v>
      </c>
      <c r="M63" s="69"/>
      <c r="N63" s="41"/>
      <c r="O63" s="22"/>
      <c r="P63" s="23"/>
    </row>
    <row r="64" spans="2:16" ht="12.75">
      <c r="B64" s="15"/>
      <c r="C64" s="16"/>
      <c r="D64" s="38"/>
      <c r="E64" s="63">
        <f t="shared" si="17"/>
        <v>49</v>
      </c>
      <c r="F64" s="108">
        <f t="shared" si="23"/>
        <v>44136</v>
      </c>
      <c r="G64" s="64">
        <f t="shared" si="24"/>
        <v>0.03</v>
      </c>
      <c r="H64" s="68">
        <f t="shared" si="25"/>
        <v>296594.9971999999</v>
      </c>
      <c r="I64" s="68">
        <f t="shared" si="26"/>
        <v>296594.9976</v>
      </c>
      <c r="J64" s="68">
        <f t="shared" si="27"/>
        <v>-1370.2131</v>
      </c>
      <c r="K64" s="68">
        <f t="shared" si="28"/>
        <v>-741.4875</v>
      </c>
      <c r="L64" s="68">
        <f t="shared" si="29"/>
        <v>-628.7256</v>
      </c>
      <c r="M64" s="69"/>
      <c r="N64" s="41"/>
      <c r="O64" s="22"/>
      <c r="P64" s="22"/>
    </row>
    <row r="65" spans="2:16" ht="12.75">
      <c r="B65" s="15"/>
      <c r="C65" s="16"/>
      <c r="D65" s="38"/>
      <c r="E65" s="63">
        <f aca="true" t="shared" si="30" ref="E65:E80">1+E64</f>
        <v>50</v>
      </c>
      <c r="F65" s="108">
        <f t="shared" si="23"/>
        <v>44166</v>
      </c>
      <c r="G65" s="64">
        <f t="shared" si="24"/>
        <v>0.03</v>
      </c>
      <c r="H65" s="68">
        <f t="shared" si="25"/>
        <v>295966.2715999999</v>
      </c>
      <c r="I65" s="68">
        <f t="shared" si="26"/>
        <v>295966.272</v>
      </c>
      <c r="J65" s="68">
        <f t="shared" si="27"/>
        <v>-1370.2131</v>
      </c>
      <c r="K65" s="68">
        <f t="shared" si="28"/>
        <v>-739.9157</v>
      </c>
      <c r="L65" s="68">
        <f t="shared" si="29"/>
        <v>-630.2974</v>
      </c>
      <c r="M65" s="69"/>
      <c r="N65" s="41"/>
      <c r="O65" s="22"/>
      <c r="P65" s="22"/>
    </row>
    <row r="66" spans="2:16" ht="12.75">
      <c r="B66" s="15"/>
      <c r="C66" s="16"/>
      <c r="D66" s="38"/>
      <c r="E66" s="63">
        <f t="shared" si="30"/>
        <v>51</v>
      </c>
      <c r="F66" s="108">
        <f t="shared" si="23"/>
        <v>44197</v>
      </c>
      <c r="G66" s="64">
        <f t="shared" si="24"/>
        <v>0.03</v>
      </c>
      <c r="H66" s="68">
        <f t="shared" si="25"/>
        <v>295335.97419999994</v>
      </c>
      <c r="I66" s="68">
        <f t="shared" si="26"/>
        <v>295335.9746</v>
      </c>
      <c r="J66" s="68">
        <f t="shared" si="27"/>
        <v>-1370.2131</v>
      </c>
      <c r="K66" s="68">
        <f t="shared" si="28"/>
        <v>-738.3399</v>
      </c>
      <c r="L66" s="68">
        <f t="shared" si="29"/>
        <v>-631.8732</v>
      </c>
      <c r="M66" s="69"/>
      <c r="N66" s="41"/>
      <c r="O66" s="22"/>
      <c r="P66" s="22"/>
    </row>
    <row r="67" spans="2:16" ht="12.75">
      <c r="B67" s="15"/>
      <c r="C67" s="16"/>
      <c r="D67" s="38"/>
      <c r="E67" s="63">
        <f t="shared" si="30"/>
        <v>52</v>
      </c>
      <c r="F67" s="108">
        <f aca="true" t="shared" si="31" ref="F67:F82">IF(H67&gt;0.01,DATE(YEAR($F$16),MONTH($F$16)+(E67-1)*12/PERYR,DAY($F$16)),"")</f>
        <v>44228</v>
      </c>
      <c r="G67" s="64">
        <f t="shared" si="24"/>
        <v>0.03</v>
      </c>
      <c r="H67" s="68">
        <f t="shared" si="25"/>
        <v>294704.10099999997</v>
      </c>
      <c r="I67" s="68">
        <f t="shared" si="26"/>
        <v>294704.1014</v>
      </c>
      <c r="J67" s="68">
        <f t="shared" si="27"/>
        <v>-1370.2131</v>
      </c>
      <c r="K67" s="68">
        <f t="shared" si="28"/>
        <v>-736.7603</v>
      </c>
      <c r="L67" s="68">
        <f t="shared" si="29"/>
        <v>-633.4528</v>
      </c>
      <c r="M67" s="69"/>
      <c r="N67" s="41"/>
      <c r="O67" s="22"/>
      <c r="P67" s="22"/>
    </row>
    <row r="68" spans="2:16" ht="12.75">
      <c r="B68" s="15"/>
      <c r="C68" s="16"/>
      <c r="D68" s="38"/>
      <c r="E68" s="63">
        <f t="shared" si="30"/>
        <v>53</v>
      </c>
      <c r="F68" s="108">
        <f t="shared" si="31"/>
        <v>44256</v>
      </c>
      <c r="G68" s="64">
        <f t="shared" si="24"/>
        <v>0.03</v>
      </c>
      <c r="H68" s="68">
        <f t="shared" si="25"/>
        <v>294070.6481</v>
      </c>
      <c r="I68" s="68">
        <f t="shared" si="26"/>
        <v>294070.6486</v>
      </c>
      <c r="J68" s="68">
        <f t="shared" si="27"/>
        <v>-1370.2131</v>
      </c>
      <c r="K68" s="68">
        <f t="shared" si="28"/>
        <v>-735.1766</v>
      </c>
      <c r="L68" s="68">
        <f t="shared" si="29"/>
        <v>-635.0365</v>
      </c>
      <c r="M68" s="69"/>
      <c r="N68" s="41"/>
      <c r="O68" s="22"/>
      <c r="P68" s="22"/>
    </row>
    <row r="69" spans="2:16" ht="12.75">
      <c r="B69" s="15"/>
      <c r="C69" s="16"/>
      <c r="D69" s="38"/>
      <c r="E69" s="63">
        <f t="shared" si="30"/>
        <v>54</v>
      </c>
      <c r="F69" s="108">
        <f t="shared" si="31"/>
        <v>44287</v>
      </c>
      <c r="G69" s="64">
        <f t="shared" si="24"/>
        <v>0.03</v>
      </c>
      <c r="H69" s="68">
        <f t="shared" si="25"/>
        <v>293435.6116</v>
      </c>
      <c r="I69" s="68">
        <f t="shared" si="26"/>
        <v>293435.6121</v>
      </c>
      <c r="J69" s="68">
        <f t="shared" si="27"/>
        <v>-1370.2131</v>
      </c>
      <c r="K69" s="68">
        <f t="shared" si="28"/>
        <v>-733.589</v>
      </c>
      <c r="L69" s="68">
        <f t="shared" si="29"/>
        <v>-636.6241</v>
      </c>
      <c r="M69" s="69"/>
      <c r="N69" s="41"/>
      <c r="O69" s="22"/>
      <c r="P69" s="22"/>
    </row>
    <row r="70" spans="2:16" ht="12.75">
      <c r="B70" s="15"/>
      <c r="C70" s="16"/>
      <c r="D70" s="38"/>
      <c r="E70" s="63">
        <f t="shared" si="30"/>
        <v>55</v>
      </c>
      <c r="F70" s="108">
        <f t="shared" si="31"/>
        <v>44317</v>
      </c>
      <c r="G70" s="64">
        <f t="shared" si="24"/>
        <v>0.03</v>
      </c>
      <c r="H70" s="68">
        <f t="shared" si="25"/>
        <v>292798.9875</v>
      </c>
      <c r="I70" s="68">
        <f t="shared" si="26"/>
        <v>292798.988</v>
      </c>
      <c r="J70" s="68">
        <f t="shared" si="27"/>
        <v>-1370.2131</v>
      </c>
      <c r="K70" s="68">
        <f t="shared" si="28"/>
        <v>-731.9975</v>
      </c>
      <c r="L70" s="68">
        <f t="shared" si="29"/>
        <v>-638.2156</v>
      </c>
      <c r="M70" s="69"/>
      <c r="N70" s="41"/>
      <c r="O70" s="22"/>
      <c r="P70" s="22"/>
    </row>
    <row r="71" spans="2:16" ht="12.75">
      <c r="B71" s="15"/>
      <c r="C71" s="16"/>
      <c r="D71" s="38"/>
      <c r="E71" s="63">
        <f t="shared" si="30"/>
        <v>56</v>
      </c>
      <c r="F71" s="108">
        <f t="shared" si="31"/>
        <v>44348</v>
      </c>
      <c r="G71" s="64">
        <f t="shared" si="24"/>
        <v>0.03</v>
      </c>
      <c r="H71" s="68">
        <f t="shared" si="25"/>
        <v>292160.7719</v>
      </c>
      <c r="I71" s="68">
        <f t="shared" si="26"/>
        <v>292160.7724</v>
      </c>
      <c r="J71" s="68">
        <f t="shared" si="27"/>
        <v>-1370.2131</v>
      </c>
      <c r="K71" s="68">
        <f t="shared" si="28"/>
        <v>-730.4019</v>
      </c>
      <c r="L71" s="68">
        <f t="shared" si="29"/>
        <v>-639.8112</v>
      </c>
      <c r="M71" s="69"/>
      <c r="N71" s="41"/>
      <c r="O71" s="22"/>
      <c r="P71" s="22"/>
    </row>
    <row r="72" spans="2:16" ht="12.75">
      <c r="B72" s="15"/>
      <c r="C72" s="16"/>
      <c r="D72" s="38"/>
      <c r="E72" s="63">
        <f t="shared" si="30"/>
        <v>57</v>
      </c>
      <c r="F72" s="108">
        <f t="shared" si="31"/>
        <v>44378</v>
      </c>
      <c r="G72" s="64">
        <f t="shared" si="24"/>
        <v>0.03</v>
      </c>
      <c r="H72" s="68">
        <f t="shared" si="25"/>
        <v>291520.9607</v>
      </c>
      <c r="I72" s="68">
        <f t="shared" si="26"/>
        <v>291520.9612</v>
      </c>
      <c r="J72" s="68">
        <f t="shared" si="27"/>
        <v>-1370.2131</v>
      </c>
      <c r="K72" s="68">
        <f t="shared" si="28"/>
        <v>-728.8024</v>
      </c>
      <c r="L72" s="68">
        <f t="shared" si="29"/>
        <v>-641.4107</v>
      </c>
      <c r="M72" s="69"/>
      <c r="N72" s="41"/>
      <c r="O72" s="22"/>
      <c r="P72" s="22"/>
    </row>
    <row r="73" spans="2:16" ht="12.75">
      <c r="B73" s="15"/>
      <c r="C73" s="16"/>
      <c r="D73" s="38"/>
      <c r="E73" s="63">
        <f t="shared" si="30"/>
        <v>58</v>
      </c>
      <c r="F73" s="108">
        <f t="shared" si="31"/>
        <v>44409</v>
      </c>
      <c r="G73" s="64">
        <f t="shared" si="24"/>
        <v>0.03</v>
      </c>
      <c r="H73" s="68">
        <f t="shared" si="25"/>
        <v>290879.55</v>
      </c>
      <c r="I73" s="68">
        <f t="shared" si="26"/>
        <v>290879.5505</v>
      </c>
      <c r="J73" s="68">
        <f t="shared" si="27"/>
        <v>-1370.2131</v>
      </c>
      <c r="K73" s="68">
        <f t="shared" si="28"/>
        <v>-727.1989</v>
      </c>
      <c r="L73" s="68">
        <f t="shared" si="29"/>
        <v>-643.0142</v>
      </c>
      <c r="M73" s="69"/>
      <c r="N73" s="41"/>
      <c r="O73" s="22"/>
      <c r="P73" s="22"/>
    </row>
    <row r="74" spans="2:16" ht="12.75">
      <c r="B74" s="15"/>
      <c r="C74" s="16"/>
      <c r="D74" s="38"/>
      <c r="E74" s="63">
        <f t="shared" si="30"/>
        <v>59</v>
      </c>
      <c r="F74" s="108">
        <f t="shared" si="31"/>
        <v>44440</v>
      </c>
      <c r="G74" s="64">
        <f t="shared" si="24"/>
        <v>0.03</v>
      </c>
      <c r="H74" s="68">
        <f t="shared" si="25"/>
        <v>290236.5358</v>
      </c>
      <c r="I74" s="68">
        <f t="shared" si="26"/>
        <v>290236.5363</v>
      </c>
      <c r="J74" s="68">
        <f t="shared" si="27"/>
        <v>-1370.2131</v>
      </c>
      <c r="K74" s="68">
        <f t="shared" si="28"/>
        <v>-725.5913</v>
      </c>
      <c r="L74" s="68">
        <f t="shared" si="29"/>
        <v>-644.6218</v>
      </c>
      <c r="M74" s="69"/>
      <c r="N74" s="41"/>
      <c r="O74" s="22"/>
      <c r="P74" s="22"/>
    </row>
    <row r="75" spans="2:16" ht="12.75">
      <c r="B75" s="15"/>
      <c r="C75" s="16"/>
      <c r="D75" s="38"/>
      <c r="E75" s="63">
        <f t="shared" si="30"/>
        <v>60</v>
      </c>
      <c r="F75" s="108">
        <f t="shared" si="31"/>
        <v>44470</v>
      </c>
      <c r="G75" s="64">
        <f t="shared" si="24"/>
        <v>0.03</v>
      </c>
      <c r="H75" s="68">
        <f t="shared" si="25"/>
        <v>289591.914</v>
      </c>
      <c r="I75" s="68">
        <f t="shared" si="26"/>
        <v>289591.9145</v>
      </c>
      <c r="J75" s="68">
        <f t="shared" si="27"/>
        <v>-1370.2131</v>
      </c>
      <c r="K75" s="68">
        <f t="shared" si="28"/>
        <v>-723.9798</v>
      </c>
      <c r="L75" s="68">
        <f t="shared" si="29"/>
        <v>-646.2333</v>
      </c>
      <c r="M75" s="69"/>
      <c r="N75" s="41"/>
      <c r="O75" s="22"/>
      <c r="P75" s="22"/>
    </row>
    <row r="76" spans="2:16" ht="12.75">
      <c r="B76" s="15"/>
      <c r="C76" s="16"/>
      <c r="D76" s="38"/>
      <c r="E76" s="63">
        <f t="shared" si="30"/>
        <v>61</v>
      </c>
      <c r="F76" s="108">
        <f t="shared" si="31"/>
        <v>44501</v>
      </c>
      <c r="G76" s="64">
        <f t="shared" si="24"/>
        <v>0.03</v>
      </c>
      <c r="H76" s="68">
        <f t="shared" si="25"/>
        <v>288945.68069999997</v>
      </c>
      <c r="I76" s="68">
        <f t="shared" si="26"/>
        <v>288945.6812</v>
      </c>
      <c r="J76" s="68">
        <f t="shared" si="27"/>
        <v>-1370.2131</v>
      </c>
      <c r="K76" s="68">
        <f t="shared" si="28"/>
        <v>-722.3642</v>
      </c>
      <c r="L76" s="68">
        <f t="shared" si="29"/>
        <v>-647.8489</v>
      </c>
      <c r="M76" s="69"/>
      <c r="N76" s="41"/>
      <c r="O76" s="22"/>
      <c r="P76" s="22"/>
    </row>
    <row r="77" spans="2:16" ht="12.75">
      <c r="B77" s="15"/>
      <c r="C77" s="16"/>
      <c r="D77" s="38"/>
      <c r="E77" s="63">
        <f t="shared" si="30"/>
        <v>62</v>
      </c>
      <c r="F77" s="108">
        <f t="shared" si="31"/>
        <v>44531</v>
      </c>
      <c r="G77" s="64">
        <f t="shared" si="24"/>
        <v>0.03</v>
      </c>
      <c r="H77" s="68">
        <f t="shared" si="25"/>
        <v>288297.8318</v>
      </c>
      <c r="I77" s="68">
        <f t="shared" si="26"/>
        <v>288297.8323</v>
      </c>
      <c r="J77" s="68">
        <f t="shared" si="27"/>
        <v>-1370.2131</v>
      </c>
      <c r="K77" s="68">
        <f t="shared" si="28"/>
        <v>-720.7446</v>
      </c>
      <c r="L77" s="68">
        <f t="shared" si="29"/>
        <v>-649.4685</v>
      </c>
      <c r="M77" s="69"/>
      <c r="N77" s="41"/>
      <c r="O77" s="22"/>
      <c r="P77" s="22"/>
    </row>
    <row r="78" spans="2:16" ht="12.75">
      <c r="B78" s="15"/>
      <c r="C78" s="16"/>
      <c r="D78" s="38"/>
      <c r="E78" s="63">
        <f t="shared" si="30"/>
        <v>63</v>
      </c>
      <c r="F78" s="108">
        <f t="shared" si="31"/>
        <v>44562</v>
      </c>
      <c r="G78" s="64">
        <f t="shared" si="24"/>
        <v>0.03</v>
      </c>
      <c r="H78" s="68">
        <f t="shared" si="25"/>
        <v>287648.36329999997</v>
      </c>
      <c r="I78" s="68">
        <f t="shared" si="26"/>
        <v>287648.3638</v>
      </c>
      <c r="J78" s="68">
        <f t="shared" si="27"/>
        <v>-1370.2131</v>
      </c>
      <c r="K78" s="68">
        <f t="shared" si="28"/>
        <v>-719.1209</v>
      </c>
      <c r="L78" s="68">
        <f t="shared" si="29"/>
        <v>-651.0922</v>
      </c>
      <c r="M78" s="69"/>
      <c r="N78" s="41"/>
      <c r="O78" s="22"/>
      <c r="P78" s="22"/>
    </row>
    <row r="79" spans="2:16" ht="12.75">
      <c r="B79" s="15"/>
      <c r="C79" s="16"/>
      <c r="D79" s="38"/>
      <c r="E79" s="63">
        <f t="shared" si="30"/>
        <v>64</v>
      </c>
      <c r="F79" s="108">
        <f t="shared" si="31"/>
        <v>44593</v>
      </c>
      <c r="G79" s="64">
        <f aca="true" t="shared" si="32" ref="G79:G94">IF(E79&lt;=data6*$C$12,G78,"")</f>
        <v>0.03</v>
      </c>
      <c r="H79" s="68">
        <f aca="true" t="shared" si="33" ref="H79:H94">IF(OR($C$12&lt;0.05,I79&lt;0.05,PERYR&lt;0.05),0,H78+ROUND(PPMT(G78/PERYR,1,$C$11-E78+1,H78),4))</f>
        <v>286997.27109999995</v>
      </c>
      <c r="I79" s="68">
        <f aca="true" t="shared" si="34" ref="I79:I94">IF(H78&gt;0.05,ROUND(I78+L78+M78,4),0)</f>
        <v>286997.2716</v>
      </c>
      <c r="J79" s="68">
        <f aca="true" t="shared" si="35" ref="J79:J94">IF(OR($C$12&lt;0.05,I79&lt;0.05,PERYR&lt;0.05,H79&lt;0.05),0,(ROUND(IF(J78+I79&lt;0,-I79+K79,IF($C$10=0,PMT(G79/PERYR,$C$11-E78,H79),-$C$13)),4)))</f>
        <v>-1370.2131</v>
      </c>
      <c r="K79" s="68">
        <f aca="true" t="shared" si="36" ref="K79:K94">IF(OR($C$12&lt;0.05,I79&lt;0.05,PERYR&lt;0.05,H79&lt;0.05),0,(ROUND(IPMT(G79/PERYR,1,$C$11-E78,I79),4)))</f>
        <v>-717.4932</v>
      </c>
      <c r="L79" s="68">
        <f aca="true" t="shared" si="37" ref="L79:L94">-ROUND(MIN(I79,K79-J79),4)</f>
        <v>-652.7199</v>
      </c>
      <c r="M79" s="69"/>
      <c r="N79" s="41"/>
      <c r="O79" s="22"/>
      <c r="P79" s="22"/>
    </row>
    <row r="80" spans="2:16" ht="12.75">
      <c r="B80" s="15"/>
      <c r="C80" s="16"/>
      <c r="D80" s="38"/>
      <c r="E80" s="63">
        <f t="shared" si="30"/>
        <v>65</v>
      </c>
      <c r="F80" s="108">
        <f t="shared" si="31"/>
        <v>44621</v>
      </c>
      <c r="G80" s="64">
        <f t="shared" si="32"/>
        <v>0.03</v>
      </c>
      <c r="H80" s="68">
        <f t="shared" si="33"/>
        <v>286344.5511999999</v>
      </c>
      <c r="I80" s="68">
        <f t="shared" si="34"/>
        <v>286344.5517</v>
      </c>
      <c r="J80" s="68">
        <f t="shared" si="35"/>
        <v>-1370.2131</v>
      </c>
      <c r="K80" s="68">
        <f t="shared" si="36"/>
        <v>-715.8614</v>
      </c>
      <c r="L80" s="68">
        <f t="shared" si="37"/>
        <v>-654.3517</v>
      </c>
      <c r="M80" s="69"/>
      <c r="N80" s="41"/>
      <c r="O80" s="22"/>
      <c r="P80" s="22"/>
    </row>
    <row r="81" spans="2:16" ht="12.75">
      <c r="B81" s="15"/>
      <c r="C81" s="16"/>
      <c r="D81" s="38"/>
      <c r="E81" s="63">
        <f aca="true" t="shared" si="38" ref="E81:E96">1+E80</f>
        <v>66</v>
      </c>
      <c r="F81" s="108">
        <f t="shared" si="31"/>
        <v>44652</v>
      </c>
      <c r="G81" s="64">
        <f t="shared" si="32"/>
        <v>0.03</v>
      </c>
      <c r="H81" s="68">
        <f t="shared" si="33"/>
        <v>285690.19949999993</v>
      </c>
      <c r="I81" s="68">
        <f t="shared" si="34"/>
        <v>285690.2</v>
      </c>
      <c r="J81" s="68">
        <f t="shared" si="35"/>
        <v>-1370.2131</v>
      </c>
      <c r="K81" s="68">
        <f t="shared" si="36"/>
        <v>-714.2255</v>
      </c>
      <c r="L81" s="68">
        <f t="shared" si="37"/>
        <v>-655.9876</v>
      </c>
      <c r="M81" s="69"/>
      <c r="N81" s="41"/>
      <c r="O81" s="22"/>
      <c r="P81" s="22"/>
    </row>
    <row r="82" spans="2:16" ht="12.75">
      <c r="B82" s="15"/>
      <c r="C82" s="16"/>
      <c r="D82" s="38"/>
      <c r="E82" s="63">
        <f t="shared" si="38"/>
        <v>67</v>
      </c>
      <c r="F82" s="108">
        <f t="shared" si="31"/>
        <v>44682</v>
      </c>
      <c r="G82" s="64">
        <f t="shared" si="32"/>
        <v>0.03</v>
      </c>
      <c r="H82" s="68">
        <f t="shared" si="33"/>
        <v>285034.21189999994</v>
      </c>
      <c r="I82" s="68">
        <f t="shared" si="34"/>
        <v>285034.2124</v>
      </c>
      <c r="J82" s="68">
        <f t="shared" si="35"/>
        <v>-1370.2131</v>
      </c>
      <c r="K82" s="68">
        <f t="shared" si="36"/>
        <v>-712.5855</v>
      </c>
      <c r="L82" s="68">
        <f t="shared" si="37"/>
        <v>-657.6276</v>
      </c>
      <c r="M82" s="69"/>
      <c r="N82" s="41"/>
      <c r="O82" s="22"/>
      <c r="P82" s="22"/>
    </row>
    <row r="83" spans="2:16" ht="12.75">
      <c r="B83" s="15"/>
      <c r="C83" s="16"/>
      <c r="D83" s="38"/>
      <c r="E83" s="63">
        <f t="shared" si="38"/>
        <v>68</v>
      </c>
      <c r="F83" s="108">
        <f aca="true" t="shared" si="39" ref="F83:F98">IF(H83&gt;0.01,DATE(YEAR($F$16),MONTH($F$16)+(E83-1)*12/PERYR,DAY($F$16)),"")</f>
        <v>44713</v>
      </c>
      <c r="G83" s="64">
        <f t="shared" si="32"/>
        <v>0.03</v>
      </c>
      <c r="H83" s="68">
        <f t="shared" si="33"/>
        <v>284376.58429999993</v>
      </c>
      <c r="I83" s="68">
        <f t="shared" si="34"/>
        <v>284376.5848</v>
      </c>
      <c r="J83" s="68">
        <f t="shared" si="35"/>
        <v>-1370.2131</v>
      </c>
      <c r="K83" s="68">
        <f t="shared" si="36"/>
        <v>-710.9415</v>
      </c>
      <c r="L83" s="68">
        <f t="shared" si="37"/>
        <v>-659.2716</v>
      </c>
      <c r="M83" s="69"/>
      <c r="N83" s="41"/>
      <c r="O83" s="22"/>
      <c r="P83" s="22"/>
    </row>
    <row r="84" spans="2:16" ht="12.75">
      <c r="B84" s="15"/>
      <c r="C84" s="16"/>
      <c r="D84" s="38"/>
      <c r="E84" s="63">
        <f t="shared" si="38"/>
        <v>69</v>
      </c>
      <c r="F84" s="108">
        <f t="shared" si="39"/>
        <v>44743</v>
      </c>
      <c r="G84" s="64">
        <f t="shared" si="32"/>
        <v>0.03</v>
      </c>
      <c r="H84" s="68">
        <f t="shared" si="33"/>
        <v>283717.31269999995</v>
      </c>
      <c r="I84" s="68">
        <f t="shared" si="34"/>
        <v>283717.3132</v>
      </c>
      <c r="J84" s="68">
        <f t="shared" si="35"/>
        <v>-1370.2131</v>
      </c>
      <c r="K84" s="68">
        <f t="shared" si="36"/>
        <v>-709.2933</v>
      </c>
      <c r="L84" s="68">
        <f t="shared" si="37"/>
        <v>-660.9198</v>
      </c>
      <c r="M84" s="69"/>
      <c r="N84" s="41"/>
      <c r="O84" s="22"/>
      <c r="P84" s="22"/>
    </row>
    <row r="85" spans="2:16" ht="12.75">
      <c r="B85" s="15"/>
      <c r="C85" s="16"/>
      <c r="D85" s="38"/>
      <c r="E85" s="63">
        <f t="shared" si="38"/>
        <v>70</v>
      </c>
      <c r="F85" s="108">
        <f t="shared" si="39"/>
        <v>44774</v>
      </c>
      <c r="G85" s="64">
        <f t="shared" si="32"/>
        <v>0.03</v>
      </c>
      <c r="H85" s="68">
        <f t="shared" si="33"/>
        <v>283056.3929</v>
      </c>
      <c r="I85" s="68">
        <f t="shared" si="34"/>
        <v>283056.3934</v>
      </c>
      <c r="J85" s="68">
        <f t="shared" si="35"/>
        <v>-1370.2131</v>
      </c>
      <c r="K85" s="68">
        <f t="shared" si="36"/>
        <v>-707.641</v>
      </c>
      <c r="L85" s="68">
        <f t="shared" si="37"/>
        <v>-662.5721</v>
      </c>
      <c r="M85" s="69"/>
      <c r="N85" s="41"/>
      <c r="O85" s="22"/>
      <c r="P85" s="22"/>
    </row>
    <row r="86" spans="2:16" ht="12.75">
      <c r="B86" s="15"/>
      <c r="C86" s="16"/>
      <c r="D86" s="38"/>
      <c r="E86" s="63">
        <f t="shared" si="38"/>
        <v>71</v>
      </c>
      <c r="F86" s="108">
        <f t="shared" si="39"/>
        <v>44805</v>
      </c>
      <c r="G86" s="64">
        <f t="shared" si="32"/>
        <v>0.03</v>
      </c>
      <c r="H86" s="68">
        <f t="shared" si="33"/>
        <v>282393.8208</v>
      </c>
      <c r="I86" s="68">
        <f t="shared" si="34"/>
        <v>282393.8213</v>
      </c>
      <c r="J86" s="68">
        <f t="shared" si="35"/>
        <v>-1370.2131</v>
      </c>
      <c r="K86" s="68">
        <f t="shared" si="36"/>
        <v>-705.9846</v>
      </c>
      <c r="L86" s="68">
        <f t="shared" si="37"/>
        <v>-664.2285</v>
      </c>
      <c r="M86" s="69"/>
      <c r="N86" s="41"/>
      <c r="O86" s="22"/>
      <c r="P86" s="22"/>
    </row>
    <row r="87" spans="2:16" ht="12.75">
      <c r="B87" s="15"/>
      <c r="C87" s="16"/>
      <c r="D87" s="38"/>
      <c r="E87" s="63">
        <f t="shared" si="38"/>
        <v>72</v>
      </c>
      <c r="F87" s="108">
        <f t="shared" si="39"/>
        <v>44835</v>
      </c>
      <c r="G87" s="64">
        <f t="shared" si="32"/>
        <v>0.03</v>
      </c>
      <c r="H87" s="68">
        <f t="shared" si="33"/>
        <v>281729.5922</v>
      </c>
      <c r="I87" s="68">
        <f t="shared" si="34"/>
        <v>281729.5928</v>
      </c>
      <c r="J87" s="68">
        <f t="shared" si="35"/>
        <v>-1370.2131</v>
      </c>
      <c r="K87" s="68">
        <f t="shared" si="36"/>
        <v>-704.324</v>
      </c>
      <c r="L87" s="68">
        <f t="shared" si="37"/>
        <v>-665.8891</v>
      </c>
      <c r="M87" s="69"/>
      <c r="N87" s="41"/>
      <c r="O87" s="22"/>
      <c r="P87" s="22"/>
    </row>
    <row r="88" spans="2:16" ht="12.75">
      <c r="B88" s="15"/>
      <c r="C88" s="16"/>
      <c r="D88" s="38"/>
      <c r="E88" s="63">
        <f t="shared" si="38"/>
        <v>73</v>
      </c>
      <c r="F88" s="108">
        <f t="shared" si="39"/>
        <v>44866</v>
      </c>
      <c r="G88" s="64">
        <f t="shared" si="32"/>
        <v>0.03</v>
      </c>
      <c r="H88" s="68">
        <f t="shared" si="33"/>
        <v>281063.70310000004</v>
      </c>
      <c r="I88" s="68">
        <f t="shared" si="34"/>
        <v>281063.7037</v>
      </c>
      <c r="J88" s="68">
        <f t="shared" si="35"/>
        <v>-1370.2131</v>
      </c>
      <c r="K88" s="68">
        <f t="shared" si="36"/>
        <v>-702.6593</v>
      </c>
      <c r="L88" s="68">
        <f t="shared" si="37"/>
        <v>-667.5538</v>
      </c>
      <c r="M88" s="69"/>
      <c r="N88" s="41"/>
      <c r="O88" s="22"/>
      <c r="P88" s="22"/>
    </row>
    <row r="89" spans="2:16" ht="12.75">
      <c r="B89" s="15"/>
      <c r="C89" s="16"/>
      <c r="D89" s="38"/>
      <c r="E89" s="63">
        <f t="shared" si="38"/>
        <v>74</v>
      </c>
      <c r="F89" s="108">
        <f t="shared" si="39"/>
        <v>44896</v>
      </c>
      <c r="G89" s="64">
        <f t="shared" si="32"/>
        <v>0.03</v>
      </c>
      <c r="H89" s="68">
        <f t="shared" si="33"/>
        <v>280396.14920000004</v>
      </c>
      <c r="I89" s="68">
        <f t="shared" si="34"/>
        <v>280396.1499</v>
      </c>
      <c r="J89" s="68">
        <f t="shared" si="35"/>
        <v>-1370.2131</v>
      </c>
      <c r="K89" s="68">
        <f t="shared" si="36"/>
        <v>-700.9904</v>
      </c>
      <c r="L89" s="68">
        <f t="shared" si="37"/>
        <v>-669.2227</v>
      </c>
      <c r="M89" s="69"/>
      <c r="N89" s="41"/>
      <c r="O89" s="22"/>
      <c r="P89" s="22"/>
    </row>
    <row r="90" spans="2:16" ht="12.75">
      <c r="B90" s="15"/>
      <c r="C90" s="16"/>
      <c r="D90" s="38"/>
      <c r="E90" s="63">
        <f t="shared" si="38"/>
        <v>75</v>
      </c>
      <c r="F90" s="108">
        <f t="shared" si="39"/>
        <v>44927</v>
      </c>
      <c r="G90" s="64">
        <f t="shared" si="32"/>
        <v>0.03</v>
      </c>
      <c r="H90" s="68">
        <f t="shared" si="33"/>
        <v>279726.92650000006</v>
      </c>
      <c r="I90" s="68">
        <f t="shared" si="34"/>
        <v>279726.9272</v>
      </c>
      <c r="J90" s="68">
        <f t="shared" si="35"/>
        <v>-1370.2131</v>
      </c>
      <c r="K90" s="68">
        <f t="shared" si="36"/>
        <v>-699.3173</v>
      </c>
      <c r="L90" s="68">
        <f t="shared" si="37"/>
        <v>-670.8958</v>
      </c>
      <c r="M90" s="69"/>
      <c r="N90" s="41"/>
      <c r="O90" s="22"/>
      <c r="P90" s="22"/>
    </row>
    <row r="91" spans="2:16" ht="12.75">
      <c r="B91" s="15"/>
      <c r="C91" s="16"/>
      <c r="D91" s="38"/>
      <c r="E91" s="63">
        <f t="shared" si="38"/>
        <v>76</v>
      </c>
      <c r="F91" s="108">
        <f t="shared" si="39"/>
        <v>44958</v>
      </c>
      <c r="G91" s="64">
        <f t="shared" si="32"/>
        <v>0.03</v>
      </c>
      <c r="H91" s="68">
        <f t="shared" si="33"/>
        <v>279056.03070000006</v>
      </c>
      <c r="I91" s="68">
        <f t="shared" si="34"/>
        <v>279056.0314</v>
      </c>
      <c r="J91" s="68">
        <f t="shared" si="35"/>
        <v>-1370.2131</v>
      </c>
      <c r="K91" s="68">
        <f t="shared" si="36"/>
        <v>-697.6401</v>
      </c>
      <c r="L91" s="68">
        <f t="shared" si="37"/>
        <v>-672.573</v>
      </c>
      <c r="M91" s="69"/>
      <c r="N91" s="41"/>
      <c r="O91" s="22"/>
      <c r="P91" s="22"/>
    </row>
    <row r="92" spans="2:16" ht="12.75">
      <c r="B92" s="15"/>
      <c r="C92" s="16"/>
      <c r="D92" s="38"/>
      <c r="E92" s="63">
        <f t="shared" si="38"/>
        <v>77</v>
      </c>
      <c r="F92" s="108">
        <f t="shared" si="39"/>
        <v>44986</v>
      </c>
      <c r="G92" s="64">
        <f t="shared" si="32"/>
        <v>0.03</v>
      </c>
      <c r="H92" s="68">
        <f t="shared" si="33"/>
        <v>278383.4577000001</v>
      </c>
      <c r="I92" s="68">
        <f t="shared" si="34"/>
        <v>278383.4584</v>
      </c>
      <c r="J92" s="68">
        <f t="shared" si="35"/>
        <v>-1370.2131</v>
      </c>
      <c r="K92" s="68">
        <f t="shared" si="36"/>
        <v>-695.9586</v>
      </c>
      <c r="L92" s="68">
        <f t="shared" si="37"/>
        <v>-674.2545</v>
      </c>
      <c r="M92" s="69"/>
      <c r="N92" s="41"/>
      <c r="O92" s="22"/>
      <c r="P92" s="22"/>
    </row>
    <row r="93" spans="2:16" ht="12.75">
      <c r="B93" s="15"/>
      <c r="C93" s="16"/>
      <c r="D93" s="38"/>
      <c r="E93" s="63">
        <f t="shared" si="38"/>
        <v>78</v>
      </c>
      <c r="F93" s="108">
        <f t="shared" si="39"/>
        <v>45017</v>
      </c>
      <c r="G93" s="64">
        <f t="shared" si="32"/>
        <v>0.03</v>
      </c>
      <c r="H93" s="68">
        <f t="shared" si="33"/>
        <v>277709.2032000001</v>
      </c>
      <c r="I93" s="68">
        <f t="shared" si="34"/>
        <v>277709.2039</v>
      </c>
      <c r="J93" s="68">
        <f t="shared" si="35"/>
        <v>-1370.2131</v>
      </c>
      <c r="K93" s="68">
        <f t="shared" si="36"/>
        <v>-694.273</v>
      </c>
      <c r="L93" s="68">
        <f t="shared" si="37"/>
        <v>-675.9401</v>
      </c>
      <c r="M93" s="69"/>
      <c r="N93" s="41"/>
      <c r="O93" s="22"/>
      <c r="P93" s="22"/>
    </row>
    <row r="94" spans="2:16" ht="12.75">
      <c r="B94" s="15"/>
      <c r="C94" s="16"/>
      <c r="D94" s="38"/>
      <c r="E94" s="63">
        <f t="shared" si="38"/>
        <v>79</v>
      </c>
      <c r="F94" s="108">
        <f t="shared" si="39"/>
        <v>45047</v>
      </c>
      <c r="G94" s="64">
        <f t="shared" si="32"/>
        <v>0.03</v>
      </c>
      <c r="H94" s="68">
        <f t="shared" si="33"/>
        <v>277033.2631000001</v>
      </c>
      <c r="I94" s="68">
        <f t="shared" si="34"/>
        <v>277033.2638</v>
      </c>
      <c r="J94" s="68">
        <f t="shared" si="35"/>
        <v>-1370.2131</v>
      </c>
      <c r="K94" s="68">
        <f t="shared" si="36"/>
        <v>-692.5832</v>
      </c>
      <c r="L94" s="68">
        <f t="shared" si="37"/>
        <v>-677.6299</v>
      </c>
      <c r="M94" s="69"/>
      <c r="N94" s="41"/>
      <c r="O94" s="22"/>
      <c r="P94" s="22"/>
    </row>
    <row r="95" spans="2:16" ht="12.75">
      <c r="B95" s="15"/>
      <c r="C95" s="16"/>
      <c r="D95" s="38"/>
      <c r="E95" s="63">
        <f t="shared" si="38"/>
        <v>80</v>
      </c>
      <c r="F95" s="108">
        <f t="shared" si="39"/>
        <v>45078</v>
      </c>
      <c r="G95" s="64">
        <f aca="true" t="shared" si="40" ref="G95:G110">IF(E95&lt;=data6*$C$12,G94,"")</f>
        <v>0.03</v>
      </c>
      <c r="H95" s="68">
        <f aca="true" t="shared" si="41" ref="H95:H110">IF(OR($C$12&lt;0.05,I95&lt;0.05,PERYR&lt;0.05),0,H94+ROUND(PPMT(G94/PERYR,1,$C$11-E94+1,H94),4))</f>
        <v>276355.6331000001</v>
      </c>
      <c r="I95" s="68">
        <f aca="true" t="shared" si="42" ref="I95:I110">IF(H94&gt;0.05,ROUND(I94+L94+M94,4),0)</f>
        <v>276355.6339</v>
      </c>
      <c r="J95" s="68">
        <f aca="true" t="shared" si="43" ref="J95:J110">IF(OR($C$12&lt;0.05,I95&lt;0.05,PERYR&lt;0.05,H95&lt;0.05),0,(ROUND(IF(J94+I95&lt;0,-I95+K95,IF($C$10=0,PMT(G95/PERYR,$C$11-E94,H95),-$C$13)),4)))</f>
        <v>-1370.2131</v>
      </c>
      <c r="K95" s="68">
        <f aca="true" t="shared" si="44" ref="K95:K110">IF(OR($C$12&lt;0.05,I95&lt;0.05,PERYR&lt;0.05,H95&lt;0.05),0,(ROUND(IPMT(G95/PERYR,1,$C$11-E94,I95),4)))</f>
        <v>-690.8891</v>
      </c>
      <c r="L95" s="68">
        <f aca="true" t="shared" si="45" ref="L95:L110">-ROUND(MIN(I95,K95-J95),4)</f>
        <v>-679.324</v>
      </c>
      <c r="M95" s="69"/>
      <c r="N95" s="41"/>
      <c r="O95" s="22"/>
      <c r="P95" s="22"/>
    </row>
    <row r="96" spans="2:16" ht="12.75">
      <c r="B96" s="15"/>
      <c r="C96" s="16"/>
      <c r="D96" s="38"/>
      <c r="E96" s="63">
        <f t="shared" si="38"/>
        <v>81</v>
      </c>
      <c r="F96" s="108">
        <f t="shared" si="39"/>
        <v>45108</v>
      </c>
      <c r="G96" s="64">
        <f t="shared" si="40"/>
        <v>0.03</v>
      </c>
      <c r="H96" s="68">
        <f t="shared" si="41"/>
        <v>275676.3091000001</v>
      </c>
      <c r="I96" s="68">
        <f t="shared" si="42"/>
        <v>275676.3099</v>
      </c>
      <c r="J96" s="68">
        <f t="shared" si="43"/>
        <v>-1370.2131</v>
      </c>
      <c r="K96" s="68">
        <f t="shared" si="44"/>
        <v>-689.1908</v>
      </c>
      <c r="L96" s="68">
        <f t="shared" si="45"/>
        <v>-681.0223</v>
      </c>
      <c r="M96" s="69"/>
      <c r="N96" s="41"/>
      <c r="O96" s="22"/>
      <c r="P96" s="22"/>
    </row>
    <row r="97" spans="2:16" ht="12.75">
      <c r="B97" s="15"/>
      <c r="C97" s="16"/>
      <c r="D97" s="38"/>
      <c r="E97" s="63">
        <f aca="true" t="shared" si="46" ref="E97:E112">1+E96</f>
        <v>82</v>
      </c>
      <c r="F97" s="108">
        <f t="shared" si="39"/>
        <v>45139</v>
      </c>
      <c r="G97" s="64">
        <f t="shared" si="40"/>
        <v>0.03</v>
      </c>
      <c r="H97" s="68">
        <f t="shared" si="41"/>
        <v>274995.28680000006</v>
      </c>
      <c r="I97" s="68">
        <f t="shared" si="42"/>
        <v>274995.2876</v>
      </c>
      <c r="J97" s="68">
        <f t="shared" si="43"/>
        <v>-1370.2131</v>
      </c>
      <c r="K97" s="68">
        <f t="shared" si="44"/>
        <v>-687.4882</v>
      </c>
      <c r="L97" s="68">
        <f t="shared" si="45"/>
        <v>-682.7249</v>
      </c>
      <c r="M97" s="69"/>
      <c r="N97" s="41"/>
      <c r="O97" s="22"/>
      <c r="P97" s="22"/>
    </row>
    <row r="98" spans="2:16" ht="12.75">
      <c r="B98" s="15"/>
      <c r="C98" s="16"/>
      <c r="D98" s="38"/>
      <c r="E98" s="63">
        <f t="shared" si="46"/>
        <v>83</v>
      </c>
      <c r="F98" s="108">
        <f t="shared" si="39"/>
        <v>45170</v>
      </c>
      <c r="G98" s="64">
        <f t="shared" si="40"/>
        <v>0.03</v>
      </c>
      <c r="H98" s="68">
        <f t="shared" si="41"/>
        <v>274312.5619000001</v>
      </c>
      <c r="I98" s="68">
        <f t="shared" si="42"/>
        <v>274312.5627</v>
      </c>
      <c r="J98" s="68">
        <f t="shared" si="43"/>
        <v>-1370.2131</v>
      </c>
      <c r="K98" s="68">
        <f t="shared" si="44"/>
        <v>-685.7814</v>
      </c>
      <c r="L98" s="68">
        <f t="shared" si="45"/>
        <v>-684.4317</v>
      </c>
      <c r="M98" s="69"/>
      <c r="N98" s="41"/>
      <c r="O98" s="22"/>
      <c r="P98" s="22"/>
    </row>
    <row r="99" spans="2:16" ht="12.75">
      <c r="B99" s="15"/>
      <c r="C99" s="16"/>
      <c r="D99" s="38"/>
      <c r="E99" s="63">
        <f t="shared" si="46"/>
        <v>84</v>
      </c>
      <c r="F99" s="108">
        <f aca="true" t="shared" si="47" ref="F99:F114">IF(H99&gt;0.01,DATE(YEAR($F$16),MONTH($F$16)+(E99-1)*12/PERYR,DAY($F$16)),"")</f>
        <v>45200</v>
      </c>
      <c r="G99" s="64">
        <f t="shared" si="40"/>
        <v>0.03</v>
      </c>
      <c r="H99" s="68">
        <f t="shared" si="41"/>
        <v>273628.1302000001</v>
      </c>
      <c r="I99" s="68">
        <f t="shared" si="42"/>
        <v>273628.131</v>
      </c>
      <c r="J99" s="68">
        <f t="shared" si="43"/>
        <v>-1370.2131</v>
      </c>
      <c r="K99" s="68">
        <f t="shared" si="44"/>
        <v>-684.0703</v>
      </c>
      <c r="L99" s="68">
        <f t="shared" si="45"/>
        <v>-686.1428</v>
      </c>
      <c r="M99" s="69"/>
      <c r="N99" s="41"/>
      <c r="O99" s="22"/>
      <c r="P99" s="22"/>
    </row>
    <row r="100" spans="2:16" ht="12.75">
      <c r="B100" s="15"/>
      <c r="C100" s="16"/>
      <c r="D100" s="38"/>
      <c r="E100" s="63">
        <f t="shared" si="46"/>
        <v>85</v>
      </c>
      <c r="F100" s="108">
        <f t="shared" si="47"/>
        <v>45231</v>
      </c>
      <c r="G100" s="64">
        <f t="shared" si="40"/>
        <v>0.03</v>
      </c>
      <c r="H100" s="68">
        <f t="shared" si="41"/>
        <v>272941.9874000001</v>
      </c>
      <c r="I100" s="68">
        <f t="shared" si="42"/>
        <v>272941.9882</v>
      </c>
      <c r="J100" s="68">
        <f t="shared" si="43"/>
        <v>-1370.2131</v>
      </c>
      <c r="K100" s="68">
        <f t="shared" si="44"/>
        <v>-682.355</v>
      </c>
      <c r="L100" s="68">
        <f t="shared" si="45"/>
        <v>-687.8581</v>
      </c>
      <c r="M100" s="69"/>
      <c r="N100" s="41"/>
      <c r="O100" s="22"/>
      <c r="P100" s="22"/>
    </row>
    <row r="101" spans="2:16" ht="12.75">
      <c r="B101" s="15"/>
      <c r="C101" s="16"/>
      <c r="D101" s="38"/>
      <c r="E101" s="63">
        <f t="shared" si="46"/>
        <v>86</v>
      </c>
      <c r="F101" s="108">
        <f t="shared" si="47"/>
        <v>45261</v>
      </c>
      <c r="G101" s="64">
        <f t="shared" si="40"/>
        <v>0.03</v>
      </c>
      <c r="H101" s="68">
        <f t="shared" si="41"/>
        <v>272254.1293000001</v>
      </c>
      <c r="I101" s="68">
        <f t="shared" si="42"/>
        <v>272254.1301</v>
      </c>
      <c r="J101" s="68">
        <f t="shared" si="43"/>
        <v>-1370.2131</v>
      </c>
      <c r="K101" s="68">
        <f t="shared" si="44"/>
        <v>-680.6353</v>
      </c>
      <c r="L101" s="68">
        <f t="shared" si="45"/>
        <v>-689.5778</v>
      </c>
      <c r="M101" s="69"/>
      <c r="N101" s="41"/>
      <c r="O101" s="22"/>
      <c r="P101" s="22"/>
    </row>
    <row r="102" spans="2:16" ht="12.75">
      <c r="B102" s="15"/>
      <c r="C102" s="16"/>
      <c r="D102" s="38"/>
      <c r="E102" s="63">
        <f t="shared" si="46"/>
        <v>87</v>
      </c>
      <c r="F102" s="108">
        <f t="shared" si="47"/>
        <v>45292</v>
      </c>
      <c r="G102" s="64">
        <f t="shared" si="40"/>
        <v>0.03</v>
      </c>
      <c r="H102" s="68">
        <f t="shared" si="41"/>
        <v>271564.55150000006</v>
      </c>
      <c r="I102" s="68">
        <f t="shared" si="42"/>
        <v>271564.5523</v>
      </c>
      <c r="J102" s="68">
        <f t="shared" si="43"/>
        <v>-1370.2131</v>
      </c>
      <c r="K102" s="68">
        <f t="shared" si="44"/>
        <v>-678.9114</v>
      </c>
      <c r="L102" s="68">
        <f t="shared" si="45"/>
        <v>-691.3017</v>
      </c>
      <c r="M102" s="69"/>
      <c r="N102" s="41"/>
      <c r="O102" s="22"/>
      <c r="P102" s="22"/>
    </row>
    <row r="103" spans="2:16" ht="12.75">
      <c r="B103" s="15"/>
      <c r="C103" s="16"/>
      <c r="D103" s="38"/>
      <c r="E103" s="63">
        <f t="shared" si="46"/>
        <v>88</v>
      </c>
      <c r="F103" s="108">
        <f t="shared" si="47"/>
        <v>45323</v>
      </c>
      <c r="G103" s="64">
        <f t="shared" si="40"/>
        <v>0.03</v>
      </c>
      <c r="H103" s="68">
        <f t="shared" si="41"/>
        <v>270873.24980000005</v>
      </c>
      <c r="I103" s="68">
        <f t="shared" si="42"/>
        <v>270873.2506</v>
      </c>
      <c r="J103" s="68">
        <f t="shared" si="43"/>
        <v>-1370.2131</v>
      </c>
      <c r="K103" s="68">
        <f t="shared" si="44"/>
        <v>-677.1831</v>
      </c>
      <c r="L103" s="68">
        <f t="shared" si="45"/>
        <v>-693.03</v>
      </c>
      <c r="M103" s="69"/>
      <c r="N103" s="41"/>
      <c r="O103" s="22"/>
      <c r="P103" s="22"/>
    </row>
    <row r="104" spans="2:16" ht="12.75">
      <c r="B104" s="15"/>
      <c r="C104" s="16"/>
      <c r="D104" s="38"/>
      <c r="E104" s="63">
        <f t="shared" si="46"/>
        <v>89</v>
      </c>
      <c r="F104" s="108">
        <f t="shared" si="47"/>
        <v>45352</v>
      </c>
      <c r="G104" s="64">
        <f t="shared" si="40"/>
        <v>0.03</v>
      </c>
      <c r="H104" s="68">
        <f t="shared" si="41"/>
        <v>270180.2198</v>
      </c>
      <c r="I104" s="68">
        <f t="shared" si="42"/>
        <v>270180.2206</v>
      </c>
      <c r="J104" s="68">
        <f t="shared" si="43"/>
        <v>-1370.2131</v>
      </c>
      <c r="K104" s="68">
        <f t="shared" si="44"/>
        <v>-675.4506</v>
      </c>
      <c r="L104" s="68">
        <f t="shared" si="45"/>
        <v>-694.7625</v>
      </c>
      <c r="M104" s="69"/>
      <c r="N104" s="41"/>
      <c r="O104" s="22"/>
      <c r="P104" s="22"/>
    </row>
    <row r="105" spans="2:16" ht="12.75">
      <c r="B105" s="15"/>
      <c r="C105" s="16"/>
      <c r="D105" s="38"/>
      <c r="E105" s="63">
        <f t="shared" si="46"/>
        <v>90</v>
      </c>
      <c r="F105" s="108">
        <f t="shared" si="47"/>
        <v>45383</v>
      </c>
      <c r="G105" s="64">
        <f t="shared" si="40"/>
        <v>0.03</v>
      </c>
      <c r="H105" s="68">
        <f t="shared" si="41"/>
        <v>269485.4572</v>
      </c>
      <c r="I105" s="68">
        <f t="shared" si="42"/>
        <v>269485.4581</v>
      </c>
      <c r="J105" s="68">
        <f t="shared" si="43"/>
        <v>-1370.2131</v>
      </c>
      <c r="K105" s="68">
        <f t="shared" si="44"/>
        <v>-673.7136</v>
      </c>
      <c r="L105" s="68">
        <f t="shared" si="45"/>
        <v>-696.4995</v>
      </c>
      <c r="M105" s="69"/>
      <c r="N105" s="41"/>
      <c r="O105" s="22"/>
      <c r="P105" s="22"/>
    </row>
    <row r="106" spans="2:16" ht="12.75">
      <c r="B106" s="15"/>
      <c r="C106" s="16"/>
      <c r="D106" s="38"/>
      <c r="E106" s="63">
        <f t="shared" si="46"/>
        <v>91</v>
      </c>
      <c r="F106" s="108">
        <f t="shared" si="47"/>
        <v>45413</v>
      </c>
      <c r="G106" s="64">
        <f t="shared" si="40"/>
        <v>0.03</v>
      </c>
      <c r="H106" s="68">
        <f t="shared" si="41"/>
        <v>268788.9577</v>
      </c>
      <c r="I106" s="68">
        <f t="shared" si="42"/>
        <v>268788.9586</v>
      </c>
      <c r="J106" s="68">
        <f t="shared" si="43"/>
        <v>-1370.2131</v>
      </c>
      <c r="K106" s="68">
        <f t="shared" si="44"/>
        <v>-671.9724</v>
      </c>
      <c r="L106" s="68">
        <f t="shared" si="45"/>
        <v>-698.2407</v>
      </c>
      <c r="M106" s="69"/>
      <c r="N106" s="41"/>
      <c r="O106" s="22"/>
      <c r="P106" s="22"/>
    </row>
    <row r="107" spans="2:16" ht="12.75">
      <c r="B107" s="15"/>
      <c r="C107" s="16"/>
      <c r="D107" s="38"/>
      <c r="E107" s="63">
        <f t="shared" si="46"/>
        <v>92</v>
      </c>
      <c r="F107" s="108">
        <f t="shared" si="47"/>
        <v>45444</v>
      </c>
      <c r="G107" s="64">
        <f t="shared" si="40"/>
        <v>0.03</v>
      </c>
      <c r="H107" s="68">
        <f t="shared" si="41"/>
        <v>268090.717</v>
      </c>
      <c r="I107" s="68">
        <f t="shared" si="42"/>
        <v>268090.7179</v>
      </c>
      <c r="J107" s="68">
        <f t="shared" si="43"/>
        <v>-1370.2131</v>
      </c>
      <c r="K107" s="68">
        <f t="shared" si="44"/>
        <v>-670.2268</v>
      </c>
      <c r="L107" s="68">
        <f t="shared" si="45"/>
        <v>-699.9863</v>
      </c>
      <c r="M107" s="69"/>
      <c r="N107" s="41"/>
      <c r="O107" s="22"/>
      <c r="P107" s="22"/>
    </row>
    <row r="108" spans="2:16" ht="12.75">
      <c r="B108" s="15"/>
      <c r="C108" s="16"/>
      <c r="D108" s="38"/>
      <c r="E108" s="63">
        <f t="shared" si="46"/>
        <v>93</v>
      </c>
      <c r="F108" s="108">
        <f t="shared" si="47"/>
        <v>45474</v>
      </c>
      <c r="G108" s="64">
        <f t="shared" si="40"/>
        <v>0.03</v>
      </c>
      <c r="H108" s="68">
        <f t="shared" si="41"/>
        <v>267390.7307</v>
      </c>
      <c r="I108" s="68">
        <f t="shared" si="42"/>
        <v>267390.7316</v>
      </c>
      <c r="J108" s="68">
        <f t="shared" si="43"/>
        <v>-1370.2131</v>
      </c>
      <c r="K108" s="68">
        <f t="shared" si="44"/>
        <v>-668.4768</v>
      </c>
      <c r="L108" s="68">
        <f t="shared" si="45"/>
        <v>-701.7363</v>
      </c>
      <c r="M108" s="69"/>
      <c r="N108" s="41"/>
      <c r="O108" s="22"/>
      <c r="P108" s="22"/>
    </row>
    <row r="109" spans="2:16" ht="12.75">
      <c r="B109" s="15"/>
      <c r="C109" s="16"/>
      <c r="D109" s="38"/>
      <c r="E109" s="63">
        <f t="shared" si="46"/>
        <v>94</v>
      </c>
      <c r="F109" s="108">
        <f t="shared" si="47"/>
        <v>45505</v>
      </c>
      <c r="G109" s="64">
        <f t="shared" si="40"/>
        <v>0.03</v>
      </c>
      <c r="H109" s="68">
        <f t="shared" si="41"/>
        <v>266688.9944</v>
      </c>
      <c r="I109" s="68">
        <f t="shared" si="42"/>
        <v>266688.9953</v>
      </c>
      <c r="J109" s="68">
        <f t="shared" si="43"/>
        <v>-1370.2131</v>
      </c>
      <c r="K109" s="68">
        <f t="shared" si="44"/>
        <v>-666.7225</v>
      </c>
      <c r="L109" s="68">
        <f t="shared" si="45"/>
        <v>-703.4906</v>
      </c>
      <c r="M109" s="69"/>
      <c r="N109" s="41"/>
      <c r="O109" s="22"/>
      <c r="P109" s="22"/>
    </row>
    <row r="110" spans="2:16" ht="12.75">
      <c r="B110" s="15"/>
      <c r="C110" s="16"/>
      <c r="D110" s="38"/>
      <c r="E110" s="63">
        <f t="shared" si="46"/>
        <v>95</v>
      </c>
      <c r="F110" s="108">
        <f t="shared" si="47"/>
        <v>45536</v>
      </c>
      <c r="G110" s="64">
        <f t="shared" si="40"/>
        <v>0.03</v>
      </c>
      <c r="H110" s="68">
        <f t="shared" si="41"/>
        <v>265985.5038</v>
      </c>
      <c r="I110" s="68">
        <f t="shared" si="42"/>
        <v>265985.5047</v>
      </c>
      <c r="J110" s="68">
        <f t="shared" si="43"/>
        <v>-1370.2131</v>
      </c>
      <c r="K110" s="68">
        <f t="shared" si="44"/>
        <v>-664.9638</v>
      </c>
      <c r="L110" s="68">
        <f t="shared" si="45"/>
        <v>-705.2493</v>
      </c>
      <c r="M110" s="69"/>
      <c r="N110" s="41"/>
      <c r="O110" s="22"/>
      <c r="P110" s="22"/>
    </row>
    <row r="111" spans="2:16" ht="12.75">
      <c r="B111" s="15"/>
      <c r="C111" s="16"/>
      <c r="D111" s="38"/>
      <c r="E111" s="63">
        <f t="shared" si="46"/>
        <v>96</v>
      </c>
      <c r="F111" s="108">
        <f t="shared" si="47"/>
        <v>45566</v>
      </c>
      <c r="G111" s="64">
        <f aca="true" t="shared" si="48" ref="G111:G126">IF(E111&lt;=data6*$C$12,G110,"")</f>
        <v>0.03</v>
      </c>
      <c r="H111" s="68">
        <f aca="true" t="shared" si="49" ref="H111:H126">IF(OR($C$12&lt;0.05,I111&lt;0.05,PERYR&lt;0.05),0,H110+ROUND(PPMT(G110/PERYR,1,$C$11-E110+1,H110),4))</f>
        <v>265280.25440000003</v>
      </c>
      <c r="I111" s="68">
        <f aca="true" t="shared" si="50" ref="I111:I126">IF(H110&gt;0.05,ROUND(I110+L110+M110,4),0)</f>
        <v>265280.2554</v>
      </c>
      <c r="J111" s="68">
        <f aca="true" t="shared" si="51" ref="J111:J126">IF(OR($C$12&lt;0.05,I111&lt;0.05,PERYR&lt;0.05,H111&lt;0.05),0,(ROUND(IF(J110+I111&lt;0,-I111+K111,IF($C$10=0,PMT(G111/PERYR,$C$11-E110,H111),-$C$13)),4)))</f>
        <v>-1370.2131</v>
      </c>
      <c r="K111" s="68">
        <f aca="true" t="shared" si="52" ref="K111:K126">IF(OR($C$12&lt;0.05,I111&lt;0.05,PERYR&lt;0.05,H111&lt;0.05),0,(ROUND(IPMT(G111/PERYR,1,$C$11-E110,I111),4)))</f>
        <v>-663.2006</v>
      </c>
      <c r="L111" s="68">
        <f aca="true" t="shared" si="53" ref="L111:L126">-ROUND(MIN(I111,K111-J111),4)</f>
        <v>-707.0125</v>
      </c>
      <c r="M111" s="69"/>
      <c r="N111" s="41"/>
      <c r="O111" s="22"/>
      <c r="P111" s="22"/>
    </row>
    <row r="112" spans="2:16" ht="12.75">
      <c r="B112" s="15"/>
      <c r="C112" s="16"/>
      <c r="D112" s="38"/>
      <c r="E112" s="63">
        <f t="shared" si="46"/>
        <v>97</v>
      </c>
      <c r="F112" s="108">
        <f t="shared" si="47"/>
        <v>45597</v>
      </c>
      <c r="G112" s="64">
        <f t="shared" si="48"/>
        <v>0.03</v>
      </c>
      <c r="H112" s="68">
        <f t="shared" si="49"/>
        <v>264573.2419</v>
      </c>
      <c r="I112" s="68">
        <f t="shared" si="50"/>
        <v>264573.2429</v>
      </c>
      <c r="J112" s="68">
        <f t="shared" si="51"/>
        <v>-1370.2131</v>
      </c>
      <c r="K112" s="68">
        <f t="shared" si="52"/>
        <v>-661.4331</v>
      </c>
      <c r="L112" s="68">
        <f t="shared" si="53"/>
        <v>-708.78</v>
      </c>
      <c r="M112" s="69"/>
      <c r="N112" s="41"/>
      <c r="O112" s="22"/>
      <c r="P112" s="22"/>
    </row>
    <row r="113" spans="2:16" ht="12.75">
      <c r="B113" s="15"/>
      <c r="C113" s="16"/>
      <c r="D113" s="38"/>
      <c r="E113" s="63">
        <f aca="true" t="shared" si="54" ref="E113:E128">1+E112</f>
        <v>98</v>
      </c>
      <c r="F113" s="108">
        <f t="shared" si="47"/>
        <v>45627</v>
      </c>
      <c r="G113" s="64">
        <f t="shared" si="48"/>
        <v>0.03</v>
      </c>
      <c r="H113" s="68">
        <f t="shared" si="49"/>
        <v>263864.4619</v>
      </c>
      <c r="I113" s="68">
        <f t="shared" si="50"/>
        <v>263864.4629</v>
      </c>
      <c r="J113" s="68">
        <f t="shared" si="51"/>
        <v>-1370.2131</v>
      </c>
      <c r="K113" s="68">
        <f t="shared" si="52"/>
        <v>-659.6612</v>
      </c>
      <c r="L113" s="68">
        <f t="shared" si="53"/>
        <v>-710.5519</v>
      </c>
      <c r="M113" s="69"/>
      <c r="N113" s="41"/>
      <c r="O113" s="22"/>
      <c r="P113" s="22"/>
    </row>
    <row r="114" spans="2:16" ht="12.75">
      <c r="B114" s="15"/>
      <c r="C114" s="16"/>
      <c r="D114" s="38"/>
      <c r="E114" s="63">
        <f t="shared" si="54"/>
        <v>99</v>
      </c>
      <c r="F114" s="108">
        <f t="shared" si="47"/>
        <v>45658</v>
      </c>
      <c r="G114" s="64">
        <f t="shared" si="48"/>
        <v>0.03</v>
      </c>
      <c r="H114" s="68">
        <f t="shared" si="49"/>
        <v>263153.90989999997</v>
      </c>
      <c r="I114" s="68">
        <f t="shared" si="50"/>
        <v>263153.911</v>
      </c>
      <c r="J114" s="68">
        <f t="shared" si="51"/>
        <v>-1370.2131</v>
      </c>
      <c r="K114" s="68">
        <f t="shared" si="52"/>
        <v>-657.8848</v>
      </c>
      <c r="L114" s="68">
        <f t="shared" si="53"/>
        <v>-712.3283</v>
      </c>
      <c r="M114" s="69"/>
      <c r="N114" s="41"/>
      <c r="O114" s="22"/>
      <c r="P114" s="22"/>
    </row>
    <row r="115" spans="2:16" ht="12.75">
      <c r="B115" s="15"/>
      <c r="C115" s="16"/>
      <c r="D115" s="38"/>
      <c r="E115" s="63">
        <f t="shared" si="54"/>
        <v>100</v>
      </c>
      <c r="F115" s="108">
        <f aca="true" t="shared" si="55" ref="F115:F130">IF(H115&gt;0.01,DATE(YEAR($F$16),MONTH($F$16)+(E115-1)*12/PERYR,DAY($F$16)),"")</f>
        <v>45689</v>
      </c>
      <c r="G115" s="64">
        <f t="shared" si="48"/>
        <v>0.03</v>
      </c>
      <c r="H115" s="68">
        <f t="shared" si="49"/>
        <v>262441.5816</v>
      </c>
      <c r="I115" s="68">
        <f t="shared" si="50"/>
        <v>262441.5827</v>
      </c>
      <c r="J115" s="68">
        <f t="shared" si="51"/>
        <v>-1370.2131</v>
      </c>
      <c r="K115" s="68">
        <f t="shared" si="52"/>
        <v>-656.104</v>
      </c>
      <c r="L115" s="68">
        <f t="shared" si="53"/>
        <v>-714.1091</v>
      </c>
      <c r="M115" s="69"/>
      <c r="N115" s="41"/>
      <c r="O115" s="22"/>
      <c r="P115" s="22"/>
    </row>
    <row r="116" spans="2:16" ht="12.75">
      <c r="B116" s="15"/>
      <c r="C116" s="16"/>
      <c r="D116" s="38"/>
      <c r="E116" s="63">
        <f t="shared" si="54"/>
        <v>101</v>
      </c>
      <c r="F116" s="108">
        <f t="shared" si="55"/>
        <v>45717</v>
      </c>
      <c r="G116" s="64">
        <f t="shared" si="48"/>
        <v>0.03</v>
      </c>
      <c r="H116" s="68">
        <f t="shared" si="49"/>
        <v>261727.47239999997</v>
      </c>
      <c r="I116" s="68">
        <f t="shared" si="50"/>
        <v>261727.4736</v>
      </c>
      <c r="J116" s="68">
        <f t="shared" si="51"/>
        <v>-1370.2131</v>
      </c>
      <c r="K116" s="68">
        <f t="shared" si="52"/>
        <v>-654.3187</v>
      </c>
      <c r="L116" s="68">
        <f t="shared" si="53"/>
        <v>-715.8944</v>
      </c>
      <c r="M116" s="69"/>
      <c r="N116" s="41"/>
      <c r="O116" s="22"/>
      <c r="P116" s="22"/>
    </row>
    <row r="117" spans="2:16" ht="12.75">
      <c r="B117" s="15"/>
      <c r="C117" s="16"/>
      <c r="D117" s="38"/>
      <c r="E117" s="63">
        <f t="shared" si="54"/>
        <v>102</v>
      </c>
      <c r="F117" s="108">
        <f t="shared" si="55"/>
        <v>45748</v>
      </c>
      <c r="G117" s="64">
        <f t="shared" si="48"/>
        <v>0.03</v>
      </c>
      <c r="H117" s="68">
        <f t="shared" si="49"/>
        <v>261011.57799999998</v>
      </c>
      <c r="I117" s="68">
        <f t="shared" si="50"/>
        <v>261011.5792</v>
      </c>
      <c r="J117" s="68">
        <f t="shared" si="51"/>
        <v>-1370.2131</v>
      </c>
      <c r="K117" s="68">
        <f t="shared" si="52"/>
        <v>-652.5289</v>
      </c>
      <c r="L117" s="68">
        <f t="shared" si="53"/>
        <v>-717.6842</v>
      </c>
      <c r="M117" s="69"/>
      <c r="N117" s="41"/>
      <c r="O117" s="22"/>
      <c r="P117" s="22"/>
    </row>
    <row r="118" spans="2:16" ht="12.75">
      <c r="B118" s="15"/>
      <c r="C118" s="16"/>
      <c r="D118" s="38"/>
      <c r="E118" s="63">
        <f t="shared" si="54"/>
        <v>103</v>
      </c>
      <c r="F118" s="108">
        <f t="shared" si="55"/>
        <v>45778</v>
      </c>
      <c r="G118" s="64">
        <f t="shared" si="48"/>
        <v>0.03</v>
      </c>
      <c r="H118" s="68">
        <f t="shared" si="49"/>
        <v>260293.8938</v>
      </c>
      <c r="I118" s="68">
        <f t="shared" si="50"/>
        <v>260293.895</v>
      </c>
      <c r="J118" s="68">
        <f t="shared" si="51"/>
        <v>-1370.2131</v>
      </c>
      <c r="K118" s="68">
        <f t="shared" si="52"/>
        <v>-650.7347</v>
      </c>
      <c r="L118" s="68">
        <f t="shared" si="53"/>
        <v>-719.4784</v>
      </c>
      <c r="M118" s="69"/>
      <c r="N118" s="41"/>
      <c r="O118" s="22"/>
      <c r="P118" s="22"/>
    </row>
    <row r="119" spans="2:16" ht="12.75">
      <c r="B119" s="15"/>
      <c r="C119" s="16"/>
      <c r="D119" s="38"/>
      <c r="E119" s="63">
        <f t="shared" si="54"/>
        <v>104</v>
      </c>
      <c r="F119" s="108">
        <f t="shared" si="55"/>
        <v>45809</v>
      </c>
      <c r="G119" s="64">
        <f t="shared" si="48"/>
        <v>0.03</v>
      </c>
      <c r="H119" s="68">
        <f t="shared" si="49"/>
        <v>259574.4154</v>
      </c>
      <c r="I119" s="68">
        <f t="shared" si="50"/>
        <v>259574.4166</v>
      </c>
      <c r="J119" s="68">
        <f t="shared" si="51"/>
        <v>-1370.2131</v>
      </c>
      <c r="K119" s="68">
        <f t="shared" si="52"/>
        <v>-648.936</v>
      </c>
      <c r="L119" s="68">
        <f t="shared" si="53"/>
        <v>-721.2771</v>
      </c>
      <c r="M119" s="69"/>
      <c r="N119" s="41"/>
      <c r="O119" s="22"/>
      <c r="P119" s="22"/>
    </row>
    <row r="120" spans="2:16" ht="12.75">
      <c r="B120" s="15"/>
      <c r="C120" s="16"/>
      <c r="D120" s="38"/>
      <c r="E120" s="63">
        <f t="shared" si="54"/>
        <v>105</v>
      </c>
      <c r="F120" s="108">
        <f t="shared" si="55"/>
        <v>45839</v>
      </c>
      <c r="G120" s="64">
        <f t="shared" si="48"/>
        <v>0.03</v>
      </c>
      <c r="H120" s="68">
        <f t="shared" si="49"/>
        <v>258853.1383</v>
      </c>
      <c r="I120" s="68">
        <f t="shared" si="50"/>
        <v>258853.1395</v>
      </c>
      <c r="J120" s="68">
        <f t="shared" si="51"/>
        <v>-1370.2131</v>
      </c>
      <c r="K120" s="68">
        <f t="shared" si="52"/>
        <v>-647.1328</v>
      </c>
      <c r="L120" s="68">
        <f t="shared" si="53"/>
        <v>-723.0803</v>
      </c>
      <c r="M120" s="69"/>
      <c r="N120" s="41"/>
      <c r="O120" s="22"/>
      <c r="P120" s="22"/>
    </row>
    <row r="121" spans="2:16" ht="12.75">
      <c r="B121" s="15"/>
      <c r="C121" s="16"/>
      <c r="D121" s="38"/>
      <c r="E121" s="63">
        <f t="shared" si="54"/>
        <v>106</v>
      </c>
      <c r="F121" s="108">
        <f t="shared" si="55"/>
        <v>45870</v>
      </c>
      <c r="G121" s="64">
        <f t="shared" si="48"/>
        <v>0.03</v>
      </c>
      <c r="H121" s="68">
        <f t="shared" si="49"/>
        <v>258130.058</v>
      </c>
      <c r="I121" s="68">
        <f t="shared" si="50"/>
        <v>258130.0592</v>
      </c>
      <c r="J121" s="68">
        <f t="shared" si="51"/>
        <v>-1370.2131</v>
      </c>
      <c r="K121" s="68">
        <f t="shared" si="52"/>
        <v>-645.3251</v>
      </c>
      <c r="L121" s="68">
        <f t="shared" si="53"/>
        <v>-724.888</v>
      </c>
      <c r="M121" s="69"/>
      <c r="N121" s="41"/>
      <c r="O121" s="22"/>
      <c r="P121" s="22"/>
    </row>
    <row r="122" spans="2:16" ht="12.75">
      <c r="B122" s="15"/>
      <c r="C122" s="16"/>
      <c r="D122" s="38"/>
      <c r="E122" s="63">
        <f t="shared" si="54"/>
        <v>107</v>
      </c>
      <c r="F122" s="108">
        <f t="shared" si="55"/>
        <v>45901</v>
      </c>
      <c r="G122" s="64">
        <f t="shared" si="48"/>
        <v>0.03</v>
      </c>
      <c r="H122" s="68">
        <f t="shared" si="49"/>
        <v>257405.16999999998</v>
      </c>
      <c r="I122" s="68">
        <f t="shared" si="50"/>
        <v>257405.1712</v>
      </c>
      <c r="J122" s="68">
        <f t="shared" si="51"/>
        <v>-1370.2131</v>
      </c>
      <c r="K122" s="68">
        <f t="shared" si="52"/>
        <v>-643.5129</v>
      </c>
      <c r="L122" s="68">
        <f t="shared" si="53"/>
        <v>-726.7002</v>
      </c>
      <c r="M122" s="69"/>
      <c r="N122" s="41"/>
      <c r="O122" s="22"/>
      <c r="P122" s="22"/>
    </row>
    <row r="123" spans="2:16" ht="12.75">
      <c r="B123" s="15"/>
      <c r="C123" s="16"/>
      <c r="D123" s="38"/>
      <c r="E123" s="63">
        <f t="shared" si="54"/>
        <v>108</v>
      </c>
      <c r="F123" s="108">
        <f t="shared" si="55"/>
        <v>45931</v>
      </c>
      <c r="G123" s="64">
        <f t="shared" si="48"/>
        <v>0.03</v>
      </c>
      <c r="H123" s="68">
        <f t="shared" si="49"/>
        <v>256678.4698</v>
      </c>
      <c r="I123" s="68">
        <f t="shared" si="50"/>
        <v>256678.471</v>
      </c>
      <c r="J123" s="68">
        <f t="shared" si="51"/>
        <v>-1370.2131</v>
      </c>
      <c r="K123" s="68">
        <f t="shared" si="52"/>
        <v>-641.6962</v>
      </c>
      <c r="L123" s="68">
        <f t="shared" si="53"/>
        <v>-728.5169</v>
      </c>
      <c r="M123" s="69"/>
      <c r="N123" s="41"/>
      <c r="O123" s="22"/>
      <c r="P123" s="22"/>
    </row>
    <row r="124" spans="2:16" ht="12.75">
      <c r="B124" s="15"/>
      <c r="C124" s="16"/>
      <c r="D124" s="38"/>
      <c r="E124" s="63">
        <f t="shared" si="54"/>
        <v>109</v>
      </c>
      <c r="F124" s="108">
        <f t="shared" si="55"/>
        <v>45962</v>
      </c>
      <c r="G124" s="64">
        <f t="shared" si="48"/>
        <v>0.03</v>
      </c>
      <c r="H124" s="68">
        <f t="shared" si="49"/>
        <v>255949.9529</v>
      </c>
      <c r="I124" s="68">
        <f t="shared" si="50"/>
        <v>255949.9541</v>
      </c>
      <c r="J124" s="68">
        <f t="shared" si="51"/>
        <v>-1370.2131</v>
      </c>
      <c r="K124" s="68">
        <f t="shared" si="52"/>
        <v>-639.8749</v>
      </c>
      <c r="L124" s="68">
        <f t="shared" si="53"/>
        <v>-730.3382</v>
      </c>
      <c r="M124" s="69"/>
      <c r="N124" s="41"/>
      <c r="O124" s="22"/>
      <c r="P124" s="22"/>
    </row>
    <row r="125" spans="2:16" ht="12.75">
      <c r="B125" s="15"/>
      <c r="C125" s="16"/>
      <c r="D125" s="38"/>
      <c r="E125" s="63">
        <f t="shared" si="54"/>
        <v>110</v>
      </c>
      <c r="F125" s="108">
        <f t="shared" si="55"/>
        <v>45992</v>
      </c>
      <c r="G125" s="64">
        <f t="shared" si="48"/>
        <v>0.03</v>
      </c>
      <c r="H125" s="68">
        <f t="shared" si="49"/>
        <v>255219.6147</v>
      </c>
      <c r="I125" s="68">
        <f t="shared" si="50"/>
        <v>255219.6159</v>
      </c>
      <c r="J125" s="68">
        <f t="shared" si="51"/>
        <v>-1370.2131</v>
      </c>
      <c r="K125" s="68">
        <f t="shared" si="52"/>
        <v>-638.049</v>
      </c>
      <c r="L125" s="68">
        <f t="shared" si="53"/>
        <v>-732.1641</v>
      </c>
      <c r="M125" s="69"/>
      <c r="N125" s="41"/>
      <c r="O125" s="22"/>
      <c r="P125" s="22"/>
    </row>
    <row r="126" spans="2:16" ht="12.75">
      <c r="B126" s="15"/>
      <c r="C126" s="16"/>
      <c r="D126" s="38"/>
      <c r="E126" s="63">
        <f t="shared" si="54"/>
        <v>111</v>
      </c>
      <c r="F126" s="108">
        <f t="shared" si="55"/>
        <v>46023</v>
      </c>
      <c r="G126" s="64">
        <f t="shared" si="48"/>
        <v>0.03</v>
      </c>
      <c r="H126" s="68">
        <f t="shared" si="49"/>
        <v>254487.4506</v>
      </c>
      <c r="I126" s="68">
        <f t="shared" si="50"/>
        <v>254487.4518</v>
      </c>
      <c r="J126" s="68">
        <f t="shared" si="51"/>
        <v>-1370.2131</v>
      </c>
      <c r="K126" s="68">
        <f t="shared" si="52"/>
        <v>-636.2186</v>
      </c>
      <c r="L126" s="68">
        <f t="shared" si="53"/>
        <v>-733.9945</v>
      </c>
      <c r="M126" s="69"/>
      <c r="N126" s="41"/>
      <c r="O126" s="22"/>
      <c r="P126" s="22"/>
    </row>
    <row r="127" spans="2:16" ht="12.75">
      <c r="B127" s="15"/>
      <c r="C127" s="16"/>
      <c r="D127" s="38"/>
      <c r="E127" s="63">
        <f t="shared" si="54"/>
        <v>112</v>
      </c>
      <c r="F127" s="108">
        <f t="shared" si="55"/>
        <v>46054</v>
      </c>
      <c r="G127" s="64">
        <f aca="true" t="shared" si="56" ref="G127:G142">IF(E127&lt;=data6*$C$12,G126,"")</f>
        <v>0.03</v>
      </c>
      <c r="H127" s="68">
        <f aca="true" t="shared" si="57" ref="H127:H142">IF(OR($C$12&lt;0.05,I127&lt;0.05,PERYR&lt;0.05),0,H126+ROUND(PPMT(G126/PERYR,1,$C$11-E126+1,H126),4))</f>
        <v>253753.4561</v>
      </c>
      <c r="I127" s="68">
        <f aca="true" t="shared" si="58" ref="I127:I142">IF(H126&gt;0.05,ROUND(I126+L126+M126,4),0)</f>
        <v>253753.4573</v>
      </c>
      <c r="J127" s="68">
        <f aca="true" t="shared" si="59" ref="J127:J142">IF(OR($C$12&lt;0.05,I127&lt;0.05,PERYR&lt;0.05,H127&lt;0.05),0,(ROUND(IF(J126+I127&lt;0,-I127+K127,IF($C$10=0,PMT(G127/PERYR,$C$11-E126,H127),-$C$13)),4)))</f>
        <v>-1370.2131</v>
      </c>
      <c r="K127" s="68">
        <f aca="true" t="shared" si="60" ref="K127:K142">IF(OR($C$12&lt;0.05,I127&lt;0.05,PERYR&lt;0.05,H127&lt;0.05),0,(ROUND(IPMT(G127/PERYR,1,$C$11-E126,I127),4)))</f>
        <v>-634.3836</v>
      </c>
      <c r="L127" s="68">
        <f aca="true" t="shared" si="61" ref="L127:L142">-ROUND(MIN(I127,K127-J127),4)</f>
        <v>-735.8295</v>
      </c>
      <c r="M127" s="69"/>
      <c r="N127" s="41"/>
      <c r="O127" s="22"/>
      <c r="P127" s="22"/>
    </row>
    <row r="128" spans="2:16" ht="12.75">
      <c r="B128" s="15"/>
      <c r="C128" s="16"/>
      <c r="D128" s="38"/>
      <c r="E128" s="63">
        <f t="shared" si="54"/>
        <v>113</v>
      </c>
      <c r="F128" s="108">
        <f t="shared" si="55"/>
        <v>46082</v>
      </c>
      <c r="G128" s="64">
        <f t="shared" si="56"/>
        <v>0.03</v>
      </c>
      <c r="H128" s="68">
        <f t="shared" si="57"/>
        <v>253017.62660000002</v>
      </c>
      <c r="I128" s="68">
        <f t="shared" si="58"/>
        <v>253017.6278</v>
      </c>
      <c r="J128" s="68">
        <f t="shared" si="59"/>
        <v>-1370.2131</v>
      </c>
      <c r="K128" s="68">
        <f t="shared" si="60"/>
        <v>-632.5441</v>
      </c>
      <c r="L128" s="68">
        <f t="shared" si="61"/>
        <v>-737.669</v>
      </c>
      <c r="M128" s="69"/>
      <c r="N128" s="41"/>
      <c r="O128" s="22"/>
      <c r="P128" s="22"/>
    </row>
    <row r="129" spans="2:16" ht="12.75">
      <c r="B129" s="15"/>
      <c r="C129" s="16"/>
      <c r="D129" s="38"/>
      <c r="E129" s="63">
        <f aca="true" t="shared" si="62" ref="E129:E144">1+E128</f>
        <v>114</v>
      </c>
      <c r="F129" s="108">
        <f t="shared" si="55"/>
        <v>46113</v>
      </c>
      <c r="G129" s="64">
        <f t="shared" si="56"/>
        <v>0.03</v>
      </c>
      <c r="H129" s="68">
        <f t="shared" si="57"/>
        <v>252279.95760000002</v>
      </c>
      <c r="I129" s="68">
        <f t="shared" si="58"/>
        <v>252279.9588</v>
      </c>
      <c r="J129" s="68">
        <f t="shared" si="59"/>
        <v>-1370.2131</v>
      </c>
      <c r="K129" s="68">
        <f t="shared" si="60"/>
        <v>-630.6999</v>
      </c>
      <c r="L129" s="68">
        <f t="shared" si="61"/>
        <v>-739.5132</v>
      </c>
      <c r="M129" s="69"/>
      <c r="N129" s="41"/>
      <c r="O129" s="22"/>
      <c r="P129" s="22"/>
    </row>
    <row r="130" spans="2:16" ht="12.75">
      <c r="B130" s="15"/>
      <c r="C130" s="16"/>
      <c r="D130" s="38"/>
      <c r="E130" s="63">
        <f t="shared" si="62"/>
        <v>115</v>
      </c>
      <c r="F130" s="108">
        <f t="shared" si="55"/>
        <v>46143</v>
      </c>
      <c r="G130" s="64">
        <f t="shared" si="56"/>
        <v>0.03</v>
      </c>
      <c r="H130" s="68">
        <f t="shared" si="57"/>
        <v>251540.44440000004</v>
      </c>
      <c r="I130" s="68">
        <f t="shared" si="58"/>
        <v>251540.4456</v>
      </c>
      <c r="J130" s="68">
        <f t="shared" si="59"/>
        <v>-1370.2131</v>
      </c>
      <c r="K130" s="68">
        <f t="shared" si="60"/>
        <v>-628.8511</v>
      </c>
      <c r="L130" s="68">
        <f t="shared" si="61"/>
        <v>-741.362</v>
      </c>
      <c r="M130" s="69"/>
      <c r="N130" s="41"/>
      <c r="O130" s="22"/>
      <c r="P130" s="22"/>
    </row>
    <row r="131" spans="2:16" ht="12.75">
      <c r="B131" s="15"/>
      <c r="C131" s="16"/>
      <c r="D131" s="38"/>
      <c r="E131" s="63">
        <f t="shared" si="62"/>
        <v>116</v>
      </c>
      <c r="F131" s="108">
        <f aca="true" t="shared" si="63" ref="F131:F146">IF(H131&gt;0.01,DATE(YEAR($F$16),MONTH($F$16)+(E131-1)*12/PERYR,DAY($F$16)),"")</f>
        <v>46174</v>
      </c>
      <c r="G131" s="64">
        <f t="shared" si="56"/>
        <v>0.03</v>
      </c>
      <c r="H131" s="68">
        <f t="shared" si="57"/>
        <v>250799.08240000004</v>
      </c>
      <c r="I131" s="68">
        <f t="shared" si="58"/>
        <v>250799.0836</v>
      </c>
      <c r="J131" s="68">
        <f t="shared" si="59"/>
        <v>-1370.2131</v>
      </c>
      <c r="K131" s="68">
        <f t="shared" si="60"/>
        <v>-626.9977</v>
      </c>
      <c r="L131" s="68">
        <f t="shared" si="61"/>
        <v>-743.2154</v>
      </c>
      <c r="M131" s="69"/>
      <c r="N131" s="41"/>
      <c r="O131" s="22"/>
      <c r="P131" s="22"/>
    </row>
    <row r="132" spans="2:16" ht="12.75">
      <c r="B132" s="15"/>
      <c r="C132" s="16"/>
      <c r="D132" s="38"/>
      <c r="E132" s="63">
        <f t="shared" si="62"/>
        <v>117</v>
      </c>
      <c r="F132" s="108">
        <f t="shared" si="63"/>
        <v>46204</v>
      </c>
      <c r="G132" s="64">
        <f t="shared" si="56"/>
        <v>0.03</v>
      </c>
      <c r="H132" s="68">
        <f t="shared" si="57"/>
        <v>250055.86700000006</v>
      </c>
      <c r="I132" s="68">
        <f t="shared" si="58"/>
        <v>250055.8682</v>
      </c>
      <c r="J132" s="68">
        <f t="shared" si="59"/>
        <v>-1370.2131</v>
      </c>
      <c r="K132" s="68">
        <f t="shared" si="60"/>
        <v>-625.1397</v>
      </c>
      <c r="L132" s="68">
        <f t="shared" si="61"/>
        <v>-745.0734</v>
      </c>
      <c r="M132" s="69"/>
      <c r="N132" s="41"/>
      <c r="O132" s="22"/>
      <c r="P132" s="22"/>
    </row>
    <row r="133" spans="2:16" ht="12.75">
      <c r="B133" s="15"/>
      <c r="C133" s="16"/>
      <c r="D133" s="38"/>
      <c r="E133" s="63">
        <f t="shared" si="62"/>
        <v>118</v>
      </c>
      <c r="F133" s="108">
        <f t="shared" si="63"/>
        <v>46235</v>
      </c>
      <c r="G133" s="64">
        <f t="shared" si="56"/>
        <v>0.03</v>
      </c>
      <c r="H133" s="68">
        <f t="shared" si="57"/>
        <v>249310.79360000006</v>
      </c>
      <c r="I133" s="68">
        <f t="shared" si="58"/>
        <v>249310.7948</v>
      </c>
      <c r="J133" s="68">
        <f t="shared" si="59"/>
        <v>-1370.2131</v>
      </c>
      <c r="K133" s="68">
        <f t="shared" si="60"/>
        <v>-623.277</v>
      </c>
      <c r="L133" s="68">
        <f t="shared" si="61"/>
        <v>-746.9361</v>
      </c>
      <c r="M133" s="69"/>
      <c r="N133" s="41"/>
      <c r="O133" s="22"/>
      <c r="P133" s="22"/>
    </row>
    <row r="134" spans="2:16" ht="12.75">
      <c r="B134" s="15"/>
      <c r="C134" s="16"/>
      <c r="D134" s="38"/>
      <c r="E134" s="63">
        <f t="shared" si="62"/>
        <v>119</v>
      </c>
      <c r="F134" s="108">
        <f t="shared" si="63"/>
        <v>46266</v>
      </c>
      <c r="G134" s="64">
        <f t="shared" si="56"/>
        <v>0.03</v>
      </c>
      <c r="H134" s="68">
        <f t="shared" si="57"/>
        <v>248563.85750000007</v>
      </c>
      <c r="I134" s="68">
        <f t="shared" si="58"/>
        <v>248563.8587</v>
      </c>
      <c r="J134" s="68">
        <f t="shared" si="59"/>
        <v>-1370.2131</v>
      </c>
      <c r="K134" s="68">
        <f t="shared" si="60"/>
        <v>-621.4096</v>
      </c>
      <c r="L134" s="68">
        <f t="shared" si="61"/>
        <v>-748.8035</v>
      </c>
      <c r="M134" s="69"/>
      <c r="N134" s="41"/>
      <c r="O134" s="22"/>
      <c r="P134" s="22"/>
    </row>
    <row r="135" spans="2:16" ht="12.75">
      <c r="B135" s="15"/>
      <c r="C135" s="16"/>
      <c r="D135" s="38"/>
      <c r="E135" s="63">
        <f t="shared" si="62"/>
        <v>120</v>
      </c>
      <c r="F135" s="108">
        <f t="shared" si="63"/>
        <v>46296</v>
      </c>
      <c r="G135" s="64">
        <f t="shared" si="56"/>
        <v>0.03</v>
      </c>
      <c r="H135" s="68">
        <f t="shared" si="57"/>
        <v>247815.05400000006</v>
      </c>
      <c r="I135" s="68">
        <f t="shared" si="58"/>
        <v>247815.0552</v>
      </c>
      <c r="J135" s="68">
        <f t="shared" si="59"/>
        <v>-1370.2131</v>
      </c>
      <c r="K135" s="68">
        <f t="shared" si="60"/>
        <v>-619.5376</v>
      </c>
      <c r="L135" s="68">
        <f t="shared" si="61"/>
        <v>-750.6755</v>
      </c>
      <c r="M135" s="69"/>
      <c r="N135" s="41"/>
      <c r="O135" s="22"/>
      <c r="P135" s="22"/>
    </row>
    <row r="136" spans="2:16" ht="12.75">
      <c r="B136" s="15"/>
      <c r="C136" s="16"/>
      <c r="D136" s="38"/>
      <c r="E136" s="63">
        <f t="shared" si="62"/>
        <v>121</v>
      </c>
      <c r="F136" s="108">
        <f t="shared" si="63"/>
        <v>46327</v>
      </c>
      <c r="G136" s="64">
        <f t="shared" si="56"/>
        <v>0.03</v>
      </c>
      <c r="H136" s="68">
        <f t="shared" si="57"/>
        <v>247064.37850000005</v>
      </c>
      <c r="I136" s="68">
        <f t="shared" si="58"/>
        <v>247064.3797</v>
      </c>
      <c r="J136" s="68">
        <f t="shared" si="59"/>
        <v>-1370.2131</v>
      </c>
      <c r="K136" s="68">
        <f t="shared" si="60"/>
        <v>-617.6609</v>
      </c>
      <c r="L136" s="68">
        <f t="shared" si="61"/>
        <v>-752.5522</v>
      </c>
      <c r="M136" s="69"/>
      <c r="N136" s="41"/>
      <c r="O136" s="22"/>
      <c r="P136" s="22"/>
    </row>
    <row r="137" spans="2:16" ht="12.75">
      <c r="B137" s="15"/>
      <c r="C137" s="16"/>
      <c r="D137" s="38"/>
      <c r="E137" s="63">
        <f t="shared" si="62"/>
        <v>122</v>
      </c>
      <c r="F137" s="108">
        <f t="shared" si="63"/>
        <v>46357</v>
      </c>
      <c r="G137" s="64">
        <f t="shared" si="56"/>
        <v>0.03</v>
      </c>
      <c r="H137" s="68">
        <f t="shared" si="57"/>
        <v>246311.82630000004</v>
      </c>
      <c r="I137" s="68">
        <f t="shared" si="58"/>
        <v>246311.8275</v>
      </c>
      <c r="J137" s="68">
        <f t="shared" si="59"/>
        <v>-1370.2131</v>
      </c>
      <c r="K137" s="68">
        <f t="shared" si="60"/>
        <v>-615.7796</v>
      </c>
      <c r="L137" s="68">
        <f t="shared" si="61"/>
        <v>-754.4335</v>
      </c>
      <c r="M137" s="69"/>
      <c r="N137" s="41"/>
      <c r="O137" s="22"/>
      <c r="P137" s="22"/>
    </row>
    <row r="138" spans="2:16" ht="12.75">
      <c r="B138" s="15"/>
      <c r="C138" s="16"/>
      <c r="D138" s="38"/>
      <c r="E138" s="63">
        <f t="shared" si="62"/>
        <v>123</v>
      </c>
      <c r="F138" s="108">
        <f t="shared" si="63"/>
        <v>46388</v>
      </c>
      <c r="G138" s="64">
        <f t="shared" si="56"/>
        <v>0.03</v>
      </c>
      <c r="H138" s="68">
        <f t="shared" si="57"/>
        <v>245557.39280000003</v>
      </c>
      <c r="I138" s="68">
        <f t="shared" si="58"/>
        <v>245557.394</v>
      </c>
      <c r="J138" s="68">
        <f t="shared" si="59"/>
        <v>-1370.2131</v>
      </c>
      <c r="K138" s="68">
        <f t="shared" si="60"/>
        <v>-613.8935</v>
      </c>
      <c r="L138" s="68">
        <f t="shared" si="61"/>
        <v>-756.3196</v>
      </c>
      <c r="M138" s="69"/>
      <c r="N138" s="41"/>
      <c r="O138" s="22"/>
      <c r="P138" s="22"/>
    </row>
    <row r="139" spans="2:16" ht="12.75">
      <c r="B139" s="15"/>
      <c r="C139" s="16"/>
      <c r="D139" s="38"/>
      <c r="E139" s="63">
        <f t="shared" si="62"/>
        <v>124</v>
      </c>
      <c r="F139" s="108">
        <f t="shared" si="63"/>
        <v>46419</v>
      </c>
      <c r="G139" s="64">
        <f t="shared" si="56"/>
        <v>0.03</v>
      </c>
      <c r="H139" s="68">
        <f t="shared" si="57"/>
        <v>244801.07320000004</v>
      </c>
      <c r="I139" s="68">
        <f t="shared" si="58"/>
        <v>244801.0744</v>
      </c>
      <c r="J139" s="68">
        <f t="shared" si="59"/>
        <v>-1370.2131</v>
      </c>
      <c r="K139" s="68">
        <f t="shared" si="60"/>
        <v>-612.0027</v>
      </c>
      <c r="L139" s="68">
        <f t="shared" si="61"/>
        <v>-758.2104</v>
      </c>
      <c r="M139" s="69"/>
      <c r="N139" s="41"/>
      <c r="O139" s="22"/>
      <c r="P139" s="22"/>
    </row>
    <row r="140" spans="2:16" ht="12.75">
      <c r="B140" s="15"/>
      <c r="C140" s="16"/>
      <c r="D140" s="38"/>
      <c r="E140" s="63">
        <f t="shared" si="62"/>
        <v>125</v>
      </c>
      <c r="F140" s="108">
        <f t="shared" si="63"/>
        <v>46447</v>
      </c>
      <c r="G140" s="64">
        <f t="shared" si="56"/>
        <v>0.03</v>
      </c>
      <c r="H140" s="68">
        <f t="shared" si="57"/>
        <v>244042.86280000003</v>
      </c>
      <c r="I140" s="68">
        <f t="shared" si="58"/>
        <v>244042.864</v>
      </c>
      <c r="J140" s="68">
        <f t="shared" si="59"/>
        <v>-1370.2131</v>
      </c>
      <c r="K140" s="68">
        <f t="shared" si="60"/>
        <v>-610.1072</v>
      </c>
      <c r="L140" s="68">
        <f t="shared" si="61"/>
        <v>-760.1059</v>
      </c>
      <c r="M140" s="69"/>
      <c r="N140" s="41"/>
      <c r="O140" s="22"/>
      <c r="P140" s="22"/>
    </row>
    <row r="141" spans="2:16" ht="12.75">
      <c r="B141" s="15"/>
      <c r="C141" s="16"/>
      <c r="D141" s="38"/>
      <c r="E141" s="63">
        <f t="shared" si="62"/>
        <v>126</v>
      </c>
      <c r="F141" s="108">
        <f t="shared" si="63"/>
        <v>46478</v>
      </c>
      <c r="G141" s="64">
        <f t="shared" si="56"/>
        <v>0.03</v>
      </c>
      <c r="H141" s="68">
        <f t="shared" si="57"/>
        <v>243282.75680000003</v>
      </c>
      <c r="I141" s="68">
        <f t="shared" si="58"/>
        <v>243282.7581</v>
      </c>
      <c r="J141" s="68">
        <f t="shared" si="59"/>
        <v>-1370.2131</v>
      </c>
      <c r="K141" s="68">
        <f t="shared" si="60"/>
        <v>-608.2069</v>
      </c>
      <c r="L141" s="68">
        <f t="shared" si="61"/>
        <v>-762.0062</v>
      </c>
      <c r="M141" s="69"/>
      <c r="N141" s="41"/>
      <c r="O141" s="22"/>
      <c r="P141" s="22"/>
    </row>
    <row r="142" spans="2:16" ht="12.75">
      <c r="B142" s="15"/>
      <c r="C142" s="16"/>
      <c r="D142" s="38"/>
      <c r="E142" s="63">
        <f t="shared" si="62"/>
        <v>127</v>
      </c>
      <c r="F142" s="108">
        <f t="shared" si="63"/>
        <v>46508</v>
      </c>
      <c r="G142" s="64">
        <f t="shared" si="56"/>
        <v>0.03</v>
      </c>
      <c r="H142" s="68">
        <f t="shared" si="57"/>
        <v>242520.75060000003</v>
      </c>
      <c r="I142" s="68">
        <f t="shared" si="58"/>
        <v>242520.7519</v>
      </c>
      <c r="J142" s="68">
        <f t="shared" si="59"/>
        <v>-1370.2131</v>
      </c>
      <c r="K142" s="68">
        <f t="shared" si="60"/>
        <v>-606.3019</v>
      </c>
      <c r="L142" s="68">
        <f t="shared" si="61"/>
        <v>-763.9112</v>
      </c>
      <c r="M142" s="69"/>
      <c r="N142" s="41"/>
      <c r="O142" s="22"/>
      <c r="P142" s="22"/>
    </row>
    <row r="143" spans="2:16" ht="12.75">
      <c r="B143" s="15"/>
      <c r="C143" s="16"/>
      <c r="D143" s="38"/>
      <c r="E143" s="63">
        <f t="shared" si="62"/>
        <v>128</v>
      </c>
      <c r="F143" s="108">
        <f t="shared" si="63"/>
        <v>46539</v>
      </c>
      <c r="G143" s="64">
        <f aca="true" t="shared" si="64" ref="G143:G158">IF(E143&lt;=data6*$C$12,G142,"")</f>
        <v>0.03</v>
      </c>
      <c r="H143" s="68">
        <f aca="true" t="shared" si="65" ref="H143:H158">IF(OR($C$12&lt;0.05,I143&lt;0.05,PERYR&lt;0.05),0,H142+ROUND(PPMT(G142/PERYR,1,$C$11-E142+1,H142),4))</f>
        <v>241756.83940000003</v>
      </c>
      <c r="I143" s="68">
        <f aca="true" t="shared" si="66" ref="I143:I158">IF(H142&gt;0.05,ROUND(I142+L142+M142,4),0)</f>
        <v>241756.8407</v>
      </c>
      <c r="J143" s="68">
        <f aca="true" t="shared" si="67" ref="J143:J158">IF(OR($C$12&lt;0.05,I143&lt;0.05,PERYR&lt;0.05,H143&lt;0.05),0,(ROUND(IF(J142+I143&lt;0,-I143+K143,IF($C$10=0,PMT(G143/PERYR,$C$11-E142,H143),-$C$13)),4)))</f>
        <v>-1370.2131</v>
      </c>
      <c r="K143" s="68">
        <f aca="true" t="shared" si="68" ref="K143:K158">IF(OR($C$12&lt;0.05,I143&lt;0.05,PERYR&lt;0.05,H143&lt;0.05),0,(ROUND(IPMT(G143/PERYR,1,$C$11-E142,I143),4)))</f>
        <v>-604.3921</v>
      </c>
      <c r="L143" s="68">
        <f aca="true" t="shared" si="69" ref="L143:L158">-ROUND(MIN(I143,K143-J143),4)</f>
        <v>-765.821</v>
      </c>
      <c r="M143" s="69"/>
      <c r="N143" s="41"/>
      <c r="O143" s="22"/>
      <c r="P143" s="22"/>
    </row>
    <row r="144" spans="2:16" ht="12.75">
      <c r="B144" s="15"/>
      <c r="C144" s="16"/>
      <c r="D144" s="38"/>
      <c r="E144" s="63">
        <f t="shared" si="62"/>
        <v>129</v>
      </c>
      <c r="F144" s="108">
        <f t="shared" si="63"/>
        <v>46569</v>
      </c>
      <c r="G144" s="64">
        <f t="shared" si="64"/>
        <v>0.03</v>
      </c>
      <c r="H144" s="68">
        <f t="shared" si="65"/>
        <v>240991.01840000003</v>
      </c>
      <c r="I144" s="68">
        <f t="shared" si="66"/>
        <v>240991.0197</v>
      </c>
      <c r="J144" s="68">
        <f t="shared" si="67"/>
        <v>-1370.2131</v>
      </c>
      <c r="K144" s="68">
        <f t="shared" si="68"/>
        <v>-602.4775</v>
      </c>
      <c r="L144" s="68">
        <f t="shared" si="69"/>
        <v>-767.7356</v>
      </c>
      <c r="M144" s="69"/>
      <c r="N144" s="41"/>
      <c r="O144" s="22"/>
      <c r="P144" s="22"/>
    </row>
    <row r="145" spans="2:16" ht="12.75">
      <c r="B145" s="15"/>
      <c r="C145" s="16"/>
      <c r="D145" s="38"/>
      <c r="E145" s="63">
        <f aca="true" t="shared" si="70" ref="E145:E160">1+E144</f>
        <v>130</v>
      </c>
      <c r="F145" s="108">
        <f t="shared" si="63"/>
        <v>46600</v>
      </c>
      <c r="G145" s="64">
        <f t="shared" si="64"/>
        <v>0.03</v>
      </c>
      <c r="H145" s="68">
        <f t="shared" si="65"/>
        <v>240223.28280000004</v>
      </c>
      <c r="I145" s="68">
        <f t="shared" si="66"/>
        <v>240223.2841</v>
      </c>
      <c r="J145" s="68">
        <f t="shared" si="67"/>
        <v>-1370.2131</v>
      </c>
      <c r="K145" s="68">
        <f t="shared" si="68"/>
        <v>-600.5582</v>
      </c>
      <c r="L145" s="68">
        <f t="shared" si="69"/>
        <v>-769.6549</v>
      </c>
      <c r="M145" s="69"/>
      <c r="N145" s="41"/>
      <c r="O145" s="22"/>
      <c r="P145" s="22"/>
    </row>
    <row r="146" spans="2:16" ht="12.75">
      <c r="B146" s="15"/>
      <c r="C146" s="16"/>
      <c r="D146" s="38"/>
      <c r="E146" s="63">
        <f t="shared" si="70"/>
        <v>131</v>
      </c>
      <c r="F146" s="108">
        <f t="shared" si="63"/>
        <v>46631</v>
      </c>
      <c r="G146" s="64">
        <f t="shared" si="64"/>
        <v>0.03</v>
      </c>
      <c r="H146" s="68">
        <f t="shared" si="65"/>
        <v>239453.62790000005</v>
      </c>
      <c r="I146" s="68">
        <f t="shared" si="66"/>
        <v>239453.6292</v>
      </c>
      <c r="J146" s="68">
        <f t="shared" si="67"/>
        <v>-1370.2131</v>
      </c>
      <c r="K146" s="68">
        <f t="shared" si="68"/>
        <v>-598.6341</v>
      </c>
      <c r="L146" s="68">
        <f t="shared" si="69"/>
        <v>-771.579</v>
      </c>
      <c r="M146" s="69"/>
      <c r="N146" s="41"/>
      <c r="O146" s="22"/>
      <c r="P146" s="22"/>
    </row>
    <row r="147" spans="2:16" ht="12.75">
      <c r="B147" s="15"/>
      <c r="C147" s="16"/>
      <c r="D147" s="38"/>
      <c r="E147" s="63">
        <f t="shared" si="70"/>
        <v>132</v>
      </c>
      <c r="F147" s="108">
        <f aca="true" t="shared" si="71" ref="F147:F162">IF(H147&gt;0.01,DATE(YEAR($F$16),MONTH($F$16)+(E147-1)*12/PERYR,DAY($F$16)),"")</f>
        <v>46661</v>
      </c>
      <c r="G147" s="64">
        <f t="shared" si="64"/>
        <v>0.03</v>
      </c>
      <c r="H147" s="68">
        <f t="shared" si="65"/>
        <v>238682.04890000005</v>
      </c>
      <c r="I147" s="68">
        <f t="shared" si="66"/>
        <v>238682.0502</v>
      </c>
      <c r="J147" s="68">
        <f t="shared" si="67"/>
        <v>-1370.2131</v>
      </c>
      <c r="K147" s="68">
        <f t="shared" si="68"/>
        <v>-596.7051</v>
      </c>
      <c r="L147" s="68">
        <f t="shared" si="69"/>
        <v>-773.508</v>
      </c>
      <c r="M147" s="69"/>
      <c r="N147" s="41"/>
      <c r="O147" s="22"/>
      <c r="P147" s="22"/>
    </row>
    <row r="148" spans="2:16" ht="12.75">
      <c r="B148" s="15"/>
      <c r="C148" s="16"/>
      <c r="D148" s="38"/>
      <c r="E148" s="63">
        <f t="shared" si="70"/>
        <v>133</v>
      </c>
      <c r="F148" s="108">
        <f t="shared" si="71"/>
        <v>46692</v>
      </c>
      <c r="G148" s="64">
        <f t="shared" si="64"/>
        <v>0.03</v>
      </c>
      <c r="H148" s="68">
        <f t="shared" si="65"/>
        <v>237908.54090000005</v>
      </c>
      <c r="I148" s="68">
        <f t="shared" si="66"/>
        <v>237908.5422</v>
      </c>
      <c r="J148" s="68">
        <f t="shared" si="67"/>
        <v>-1370.2131</v>
      </c>
      <c r="K148" s="68">
        <f t="shared" si="68"/>
        <v>-594.7714</v>
      </c>
      <c r="L148" s="68">
        <f t="shared" si="69"/>
        <v>-775.4417</v>
      </c>
      <c r="M148" s="69"/>
      <c r="N148" s="41"/>
      <c r="O148" s="22"/>
      <c r="P148" s="22"/>
    </row>
    <row r="149" spans="2:16" ht="12.75">
      <c r="B149" s="15"/>
      <c r="C149" s="16"/>
      <c r="D149" s="38"/>
      <c r="E149" s="63">
        <f t="shared" si="70"/>
        <v>134</v>
      </c>
      <c r="F149" s="108">
        <f t="shared" si="71"/>
        <v>46722</v>
      </c>
      <c r="G149" s="64">
        <f t="shared" si="64"/>
        <v>0.03</v>
      </c>
      <c r="H149" s="68">
        <f t="shared" si="65"/>
        <v>237133.09910000005</v>
      </c>
      <c r="I149" s="68">
        <f t="shared" si="66"/>
        <v>237133.1005</v>
      </c>
      <c r="J149" s="68">
        <f t="shared" si="67"/>
        <v>-1370.2131</v>
      </c>
      <c r="K149" s="68">
        <f t="shared" si="68"/>
        <v>-592.8328</v>
      </c>
      <c r="L149" s="68">
        <f t="shared" si="69"/>
        <v>-777.3803</v>
      </c>
      <c r="M149" s="69"/>
      <c r="N149" s="41"/>
      <c r="O149" s="22"/>
      <c r="P149" s="22"/>
    </row>
    <row r="150" spans="2:16" ht="12.75">
      <c r="B150" s="15"/>
      <c r="C150" s="16"/>
      <c r="D150" s="38"/>
      <c r="E150" s="63">
        <f t="shared" si="70"/>
        <v>135</v>
      </c>
      <c r="F150" s="108">
        <f t="shared" si="71"/>
        <v>46753</v>
      </c>
      <c r="G150" s="64">
        <f t="shared" si="64"/>
        <v>0.03</v>
      </c>
      <c r="H150" s="68">
        <f t="shared" si="65"/>
        <v>236355.71870000006</v>
      </c>
      <c r="I150" s="68">
        <f t="shared" si="66"/>
        <v>236355.7202</v>
      </c>
      <c r="J150" s="68">
        <f t="shared" si="67"/>
        <v>-1370.2131</v>
      </c>
      <c r="K150" s="68">
        <f t="shared" si="68"/>
        <v>-590.8893</v>
      </c>
      <c r="L150" s="68">
        <f t="shared" si="69"/>
        <v>-779.3238</v>
      </c>
      <c r="M150" s="69"/>
      <c r="N150" s="41"/>
      <c r="O150" s="22"/>
      <c r="P150" s="22"/>
    </row>
    <row r="151" spans="2:16" ht="12.75">
      <c r="B151" s="15"/>
      <c r="C151" s="16"/>
      <c r="D151" s="38"/>
      <c r="E151" s="63">
        <f t="shared" si="70"/>
        <v>136</v>
      </c>
      <c r="F151" s="108">
        <f t="shared" si="71"/>
        <v>46784</v>
      </c>
      <c r="G151" s="64">
        <f t="shared" si="64"/>
        <v>0.03</v>
      </c>
      <c r="H151" s="68">
        <f t="shared" si="65"/>
        <v>235576.39490000004</v>
      </c>
      <c r="I151" s="68">
        <f t="shared" si="66"/>
        <v>235576.3964</v>
      </c>
      <c r="J151" s="68">
        <f t="shared" si="67"/>
        <v>-1370.2131</v>
      </c>
      <c r="K151" s="68">
        <f t="shared" si="68"/>
        <v>-588.941</v>
      </c>
      <c r="L151" s="68">
        <f t="shared" si="69"/>
        <v>-781.2721</v>
      </c>
      <c r="M151" s="69"/>
      <c r="N151" s="41"/>
      <c r="O151" s="22"/>
      <c r="P151" s="22"/>
    </row>
    <row r="152" spans="2:16" ht="12.75">
      <c r="B152" s="15"/>
      <c r="C152" s="16"/>
      <c r="D152" s="38"/>
      <c r="E152" s="63">
        <f t="shared" si="70"/>
        <v>137</v>
      </c>
      <c r="F152" s="108">
        <f t="shared" si="71"/>
        <v>46813</v>
      </c>
      <c r="G152" s="64">
        <f t="shared" si="64"/>
        <v>0.03</v>
      </c>
      <c r="H152" s="68">
        <f t="shared" si="65"/>
        <v>234795.12280000004</v>
      </c>
      <c r="I152" s="68">
        <f t="shared" si="66"/>
        <v>234795.1243</v>
      </c>
      <c r="J152" s="68">
        <f t="shared" si="67"/>
        <v>-1370.2131</v>
      </c>
      <c r="K152" s="68">
        <f t="shared" si="68"/>
        <v>-586.9878</v>
      </c>
      <c r="L152" s="68">
        <f t="shared" si="69"/>
        <v>-783.2253</v>
      </c>
      <c r="M152" s="69"/>
      <c r="N152" s="41"/>
      <c r="O152" s="22"/>
      <c r="P152" s="22"/>
    </row>
    <row r="153" spans="2:16" ht="12.75">
      <c r="B153" s="15"/>
      <c r="C153" s="16"/>
      <c r="D153" s="38"/>
      <c r="E153" s="63">
        <f t="shared" si="70"/>
        <v>138</v>
      </c>
      <c r="F153" s="108">
        <f t="shared" si="71"/>
        <v>46844</v>
      </c>
      <c r="G153" s="64">
        <f t="shared" si="64"/>
        <v>0.03</v>
      </c>
      <c r="H153" s="68">
        <f t="shared" si="65"/>
        <v>234011.89750000005</v>
      </c>
      <c r="I153" s="68">
        <f t="shared" si="66"/>
        <v>234011.899</v>
      </c>
      <c r="J153" s="68">
        <f t="shared" si="67"/>
        <v>-1370.2131</v>
      </c>
      <c r="K153" s="68">
        <f t="shared" si="68"/>
        <v>-585.0297</v>
      </c>
      <c r="L153" s="68">
        <f t="shared" si="69"/>
        <v>-785.1834</v>
      </c>
      <c r="M153" s="69"/>
      <c r="N153" s="41"/>
      <c r="O153" s="22"/>
      <c r="P153" s="22"/>
    </row>
    <row r="154" spans="2:16" ht="12.75">
      <c r="B154" s="15"/>
      <c r="C154" s="16"/>
      <c r="D154" s="38"/>
      <c r="E154" s="63">
        <f t="shared" si="70"/>
        <v>139</v>
      </c>
      <c r="F154" s="108">
        <f t="shared" si="71"/>
        <v>46874</v>
      </c>
      <c r="G154" s="64">
        <f t="shared" si="64"/>
        <v>0.03</v>
      </c>
      <c r="H154" s="68">
        <f t="shared" si="65"/>
        <v>233226.71410000004</v>
      </c>
      <c r="I154" s="68">
        <f t="shared" si="66"/>
        <v>233226.7156</v>
      </c>
      <c r="J154" s="68">
        <f t="shared" si="67"/>
        <v>-1370.2131</v>
      </c>
      <c r="K154" s="68">
        <f t="shared" si="68"/>
        <v>-583.0668</v>
      </c>
      <c r="L154" s="68">
        <f t="shared" si="69"/>
        <v>-787.1463</v>
      </c>
      <c r="M154" s="69"/>
      <c r="N154" s="41"/>
      <c r="O154" s="22"/>
      <c r="P154" s="22"/>
    </row>
    <row r="155" spans="2:16" ht="12.75">
      <c r="B155" s="15"/>
      <c r="C155" s="16"/>
      <c r="D155" s="38"/>
      <c r="E155" s="63">
        <f t="shared" si="70"/>
        <v>140</v>
      </c>
      <c r="F155" s="108">
        <f t="shared" si="71"/>
        <v>46905</v>
      </c>
      <c r="G155" s="64">
        <f t="shared" si="64"/>
        <v>0.03</v>
      </c>
      <c r="H155" s="68">
        <f t="shared" si="65"/>
        <v>232439.56780000005</v>
      </c>
      <c r="I155" s="68">
        <f t="shared" si="66"/>
        <v>232439.5693</v>
      </c>
      <c r="J155" s="68">
        <f t="shared" si="67"/>
        <v>-1370.2131</v>
      </c>
      <c r="K155" s="68">
        <f t="shared" si="68"/>
        <v>-581.0989</v>
      </c>
      <c r="L155" s="68">
        <f t="shared" si="69"/>
        <v>-789.1142</v>
      </c>
      <c r="M155" s="69"/>
      <c r="N155" s="41"/>
      <c r="O155" s="22"/>
      <c r="P155" s="22"/>
    </row>
    <row r="156" spans="2:16" ht="12.75">
      <c r="B156" s="15"/>
      <c r="C156" s="16"/>
      <c r="D156" s="38"/>
      <c r="E156" s="63">
        <f t="shared" si="70"/>
        <v>141</v>
      </c>
      <c r="F156" s="108">
        <f t="shared" si="71"/>
        <v>46935</v>
      </c>
      <c r="G156" s="64">
        <f t="shared" si="64"/>
        <v>0.03</v>
      </c>
      <c r="H156" s="68">
        <f t="shared" si="65"/>
        <v>231650.45360000004</v>
      </c>
      <c r="I156" s="68">
        <f t="shared" si="66"/>
        <v>231650.4551</v>
      </c>
      <c r="J156" s="68">
        <f t="shared" si="67"/>
        <v>-1370.2131</v>
      </c>
      <c r="K156" s="68">
        <f t="shared" si="68"/>
        <v>-579.1261</v>
      </c>
      <c r="L156" s="68">
        <f t="shared" si="69"/>
        <v>-791.087</v>
      </c>
      <c r="M156" s="69"/>
      <c r="N156" s="41"/>
      <c r="O156" s="22"/>
      <c r="P156" s="22"/>
    </row>
    <row r="157" spans="2:16" ht="12.75">
      <c r="B157" s="15"/>
      <c r="C157" s="16"/>
      <c r="D157" s="38"/>
      <c r="E157" s="63">
        <f t="shared" si="70"/>
        <v>142</v>
      </c>
      <c r="F157" s="108">
        <f t="shared" si="71"/>
        <v>46966</v>
      </c>
      <c r="G157" s="64">
        <f t="shared" si="64"/>
        <v>0.03</v>
      </c>
      <c r="H157" s="68">
        <f t="shared" si="65"/>
        <v>230859.36660000004</v>
      </c>
      <c r="I157" s="68">
        <f t="shared" si="66"/>
        <v>230859.3681</v>
      </c>
      <c r="J157" s="68">
        <f t="shared" si="67"/>
        <v>-1370.2131</v>
      </c>
      <c r="K157" s="68">
        <f t="shared" si="68"/>
        <v>-577.1484</v>
      </c>
      <c r="L157" s="68">
        <f t="shared" si="69"/>
        <v>-793.0647</v>
      </c>
      <c r="M157" s="69"/>
      <c r="N157" s="41"/>
      <c r="O157" s="22"/>
      <c r="P157" s="22"/>
    </row>
    <row r="158" spans="2:16" ht="12.75">
      <c r="B158" s="15"/>
      <c r="C158" s="16"/>
      <c r="D158" s="38"/>
      <c r="E158" s="63">
        <f t="shared" si="70"/>
        <v>143</v>
      </c>
      <c r="F158" s="108">
        <f t="shared" si="71"/>
        <v>46997</v>
      </c>
      <c r="G158" s="64">
        <f t="shared" si="64"/>
        <v>0.03</v>
      </c>
      <c r="H158" s="68">
        <f t="shared" si="65"/>
        <v>230066.30190000005</v>
      </c>
      <c r="I158" s="68">
        <f t="shared" si="66"/>
        <v>230066.3034</v>
      </c>
      <c r="J158" s="68">
        <f t="shared" si="67"/>
        <v>-1370.2131</v>
      </c>
      <c r="K158" s="68">
        <f t="shared" si="68"/>
        <v>-575.1658</v>
      </c>
      <c r="L158" s="68">
        <f t="shared" si="69"/>
        <v>-795.0473</v>
      </c>
      <c r="M158" s="69"/>
      <c r="N158" s="41"/>
      <c r="O158" s="22"/>
      <c r="P158" s="22"/>
    </row>
    <row r="159" spans="2:16" ht="12.75">
      <c r="B159" s="15"/>
      <c r="C159" s="16"/>
      <c r="D159" s="38"/>
      <c r="E159" s="63">
        <f t="shared" si="70"/>
        <v>144</v>
      </c>
      <c r="F159" s="108">
        <f t="shared" si="71"/>
        <v>47027</v>
      </c>
      <c r="G159" s="64">
        <f aca="true" t="shared" si="72" ref="G159:G174">IF(E159&lt;=data6*$C$12,G158,"")</f>
        <v>0.03</v>
      </c>
      <c r="H159" s="68">
        <f aca="true" t="shared" si="73" ref="H159:H174">IF(OR($C$12&lt;0.05,I159&lt;0.05,PERYR&lt;0.05),0,H158+ROUND(PPMT(G158/PERYR,1,$C$11-E158+1,H158),4))</f>
        <v>229271.25450000004</v>
      </c>
      <c r="I159" s="68">
        <f aca="true" t="shared" si="74" ref="I159:I174">IF(H158&gt;0.05,ROUND(I158+L158+M158,4),0)</f>
        <v>229271.2561</v>
      </c>
      <c r="J159" s="68">
        <f aca="true" t="shared" si="75" ref="J159:J174">IF(OR($C$12&lt;0.05,I159&lt;0.05,PERYR&lt;0.05,H159&lt;0.05),0,(ROUND(IF(J158+I159&lt;0,-I159+K159,IF($C$10=0,PMT(G159/PERYR,$C$11-E158,H159),-$C$13)),4)))</f>
        <v>-1370.2131</v>
      </c>
      <c r="K159" s="68">
        <f aca="true" t="shared" si="76" ref="K159:K174">IF(OR($C$12&lt;0.05,I159&lt;0.05,PERYR&lt;0.05,H159&lt;0.05),0,(ROUND(IPMT(G159/PERYR,1,$C$11-E158,I159),4)))</f>
        <v>-573.1781</v>
      </c>
      <c r="L159" s="68">
        <f aca="true" t="shared" si="77" ref="L159:L174">-ROUND(MIN(I159,K159-J159),4)</f>
        <v>-797.035</v>
      </c>
      <c r="M159" s="69"/>
      <c r="N159" s="41"/>
      <c r="O159" s="22"/>
      <c r="P159" s="22"/>
    </row>
    <row r="160" spans="2:16" ht="12.75">
      <c r="B160" s="15"/>
      <c r="C160" s="16"/>
      <c r="D160" s="38"/>
      <c r="E160" s="63">
        <f t="shared" si="70"/>
        <v>145</v>
      </c>
      <c r="F160" s="108">
        <f t="shared" si="71"/>
        <v>47058</v>
      </c>
      <c r="G160" s="64">
        <f t="shared" si="72"/>
        <v>0.03</v>
      </c>
      <c r="H160" s="68">
        <f t="shared" si="73"/>
        <v>228474.21950000004</v>
      </c>
      <c r="I160" s="68">
        <f t="shared" si="74"/>
        <v>228474.2211</v>
      </c>
      <c r="J160" s="68">
        <f t="shared" si="75"/>
        <v>-1370.2131</v>
      </c>
      <c r="K160" s="68">
        <f t="shared" si="76"/>
        <v>-571.1856</v>
      </c>
      <c r="L160" s="68">
        <f t="shared" si="77"/>
        <v>-799.0275</v>
      </c>
      <c r="M160" s="69"/>
      <c r="N160" s="41"/>
      <c r="O160" s="22"/>
      <c r="P160" s="22"/>
    </row>
    <row r="161" spans="2:16" ht="12.75">
      <c r="B161" s="15"/>
      <c r="C161" s="16"/>
      <c r="D161" s="38"/>
      <c r="E161" s="63">
        <f aca="true" t="shared" si="78" ref="E161:E176">1+E160</f>
        <v>146</v>
      </c>
      <c r="F161" s="108">
        <f t="shared" si="71"/>
        <v>47088</v>
      </c>
      <c r="G161" s="64">
        <f t="shared" si="72"/>
        <v>0.03</v>
      </c>
      <c r="H161" s="68">
        <f t="shared" si="73"/>
        <v>227675.19190000003</v>
      </c>
      <c r="I161" s="68">
        <f t="shared" si="74"/>
        <v>227675.1936</v>
      </c>
      <c r="J161" s="68">
        <f t="shared" si="75"/>
        <v>-1370.2131</v>
      </c>
      <c r="K161" s="68">
        <f t="shared" si="76"/>
        <v>-569.188</v>
      </c>
      <c r="L161" s="68">
        <f t="shared" si="77"/>
        <v>-801.0251</v>
      </c>
      <c r="M161" s="69"/>
      <c r="N161" s="41"/>
      <c r="O161" s="22"/>
      <c r="P161" s="22"/>
    </row>
    <row r="162" spans="2:16" ht="12.75">
      <c r="B162" s="15"/>
      <c r="C162" s="16"/>
      <c r="D162" s="38"/>
      <c r="E162" s="63">
        <f t="shared" si="78"/>
        <v>147</v>
      </c>
      <c r="F162" s="108">
        <f t="shared" si="71"/>
        <v>47119</v>
      </c>
      <c r="G162" s="64">
        <f t="shared" si="72"/>
        <v>0.03</v>
      </c>
      <c r="H162" s="68">
        <f t="shared" si="73"/>
        <v>226874.16680000004</v>
      </c>
      <c r="I162" s="68">
        <f t="shared" si="74"/>
        <v>226874.1685</v>
      </c>
      <c r="J162" s="68">
        <f t="shared" si="75"/>
        <v>-1370.2131</v>
      </c>
      <c r="K162" s="68">
        <f t="shared" si="76"/>
        <v>-567.1854</v>
      </c>
      <c r="L162" s="68">
        <f t="shared" si="77"/>
        <v>-803.0277</v>
      </c>
      <c r="M162" s="69"/>
      <c r="N162" s="41"/>
      <c r="O162" s="22"/>
      <c r="P162" s="22"/>
    </row>
    <row r="163" spans="2:16" ht="12.75">
      <c r="B163" s="15"/>
      <c r="C163" s="16"/>
      <c r="D163" s="38"/>
      <c r="E163" s="63">
        <f t="shared" si="78"/>
        <v>148</v>
      </c>
      <c r="F163" s="108">
        <f aca="true" t="shared" si="79" ref="F163:F178">IF(H163&gt;0.01,DATE(YEAR($F$16),MONTH($F$16)+(E163-1)*12/PERYR,DAY($F$16)),"")</f>
        <v>47150</v>
      </c>
      <c r="G163" s="64">
        <f t="shared" si="72"/>
        <v>0.03</v>
      </c>
      <c r="H163" s="68">
        <f t="shared" si="73"/>
        <v>226071.13910000003</v>
      </c>
      <c r="I163" s="68">
        <f t="shared" si="74"/>
        <v>226071.1408</v>
      </c>
      <c r="J163" s="68">
        <f t="shared" si="75"/>
        <v>-1370.2131</v>
      </c>
      <c r="K163" s="68">
        <f t="shared" si="76"/>
        <v>-565.1779</v>
      </c>
      <c r="L163" s="68">
        <f t="shared" si="77"/>
        <v>-805.0352</v>
      </c>
      <c r="M163" s="69"/>
      <c r="N163" s="41"/>
      <c r="O163" s="22"/>
      <c r="P163" s="22"/>
    </row>
    <row r="164" spans="2:16" ht="12.75">
      <c r="B164" s="15"/>
      <c r="C164" s="16"/>
      <c r="D164" s="38"/>
      <c r="E164" s="63">
        <f t="shared" si="78"/>
        <v>149</v>
      </c>
      <c r="F164" s="108">
        <f t="shared" si="79"/>
        <v>47178</v>
      </c>
      <c r="G164" s="64">
        <f t="shared" si="72"/>
        <v>0.03</v>
      </c>
      <c r="H164" s="68">
        <f t="shared" si="73"/>
        <v>225266.10380000004</v>
      </c>
      <c r="I164" s="68">
        <f t="shared" si="74"/>
        <v>225266.1056</v>
      </c>
      <c r="J164" s="68">
        <f t="shared" si="75"/>
        <v>-1370.2131</v>
      </c>
      <c r="K164" s="68">
        <f t="shared" si="76"/>
        <v>-563.1653</v>
      </c>
      <c r="L164" s="68">
        <f t="shared" si="77"/>
        <v>-807.0478</v>
      </c>
      <c r="M164" s="69"/>
      <c r="N164" s="41"/>
      <c r="O164" s="22"/>
      <c r="P164" s="22"/>
    </row>
    <row r="165" spans="2:16" ht="12.75">
      <c r="B165" s="15"/>
      <c r="C165" s="16"/>
      <c r="D165" s="38"/>
      <c r="E165" s="63">
        <f t="shared" si="78"/>
        <v>150</v>
      </c>
      <c r="F165" s="108">
        <f t="shared" si="79"/>
        <v>47209</v>
      </c>
      <c r="G165" s="64">
        <f t="shared" si="72"/>
        <v>0.03</v>
      </c>
      <c r="H165" s="68">
        <f t="shared" si="73"/>
        <v>224459.05600000004</v>
      </c>
      <c r="I165" s="68">
        <f t="shared" si="74"/>
        <v>224459.0578</v>
      </c>
      <c r="J165" s="68">
        <f t="shared" si="75"/>
        <v>-1370.2131</v>
      </c>
      <c r="K165" s="68">
        <f t="shared" si="76"/>
        <v>-561.1476</v>
      </c>
      <c r="L165" s="68">
        <f t="shared" si="77"/>
        <v>-809.0655</v>
      </c>
      <c r="M165" s="69"/>
      <c r="N165" s="41"/>
      <c r="O165" s="22"/>
      <c r="P165" s="22"/>
    </row>
    <row r="166" spans="2:16" ht="12.75">
      <c r="B166" s="15"/>
      <c r="C166" s="16"/>
      <c r="D166" s="38"/>
      <c r="E166" s="63">
        <f t="shared" si="78"/>
        <v>151</v>
      </c>
      <c r="F166" s="108">
        <f t="shared" si="79"/>
        <v>47239</v>
      </c>
      <c r="G166" s="64">
        <f t="shared" si="72"/>
        <v>0.03</v>
      </c>
      <c r="H166" s="68">
        <f t="shared" si="73"/>
        <v>223649.99050000004</v>
      </c>
      <c r="I166" s="68">
        <f t="shared" si="74"/>
        <v>223649.9923</v>
      </c>
      <c r="J166" s="68">
        <f t="shared" si="75"/>
        <v>-1370.2131</v>
      </c>
      <c r="K166" s="68">
        <f t="shared" si="76"/>
        <v>-559.125</v>
      </c>
      <c r="L166" s="68">
        <f t="shared" si="77"/>
        <v>-811.0881</v>
      </c>
      <c r="M166" s="69"/>
      <c r="N166" s="41"/>
      <c r="O166" s="22"/>
      <c r="P166" s="22"/>
    </row>
    <row r="167" spans="2:16" ht="12.75">
      <c r="B167" s="15"/>
      <c r="C167" s="16"/>
      <c r="D167" s="38"/>
      <c r="E167" s="63">
        <f t="shared" si="78"/>
        <v>152</v>
      </c>
      <c r="F167" s="108">
        <f t="shared" si="79"/>
        <v>47270</v>
      </c>
      <c r="G167" s="64">
        <f t="shared" si="72"/>
        <v>0.03</v>
      </c>
      <c r="H167" s="68">
        <f t="shared" si="73"/>
        <v>222838.90240000005</v>
      </c>
      <c r="I167" s="68">
        <f t="shared" si="74"/>
        <v>222838.9042</v>
      </c>
      <c r="J167" s="68">
        <f t="shared" si="75"/>
        <v>-1370.2131</v>
      </c>
      <c r="K167" s="68">
        <f t="shared" si="76"/>
        <v>-557.0973</v>
      </c>
      <c r="L167" s="68">
        <f t="shared" si="77"/>
        <v>-813.1158</v>
      </c>
      <c r="M167" s="69"/>
      <c r="N167" s="41"/>
      <c r="O167" s="22"/>
      <c r="P167" s="22"/>
    </row>
    <row r="168" spans="2:16" ht="12.75">
      <c r="B168" s="15"/>
      <c r="C168" s="16"/>
      <c r="D168" s="38"/>
      <c r="E168" s="63">
        <f t="shared" si="78"/>
        <v>153</v>
      </c>
      <c r="F168" s="108">
        <f t="shared" si="79"/>
        <v>47300</v>
      </c>
      <c r="G168" s="64">
        <f t="shared" si="72"/>
        <v>0.03</v>
      </c>
      <c r="H168" s="68">
        <f t="shared" si="73"/>
        <v>222025.78650000005</v>
      </c>
      <c r="I168" s="68">
        <f t="shared" si="74"/>
        <v>222025.7884</v>
      </c>
      <c r="J168" s="68">
        <f t="shared" si="75"/>
        <v>-1370.2131</v>
      </c>
      <c r="K168" s="68">
        <f t="shared" si="76"/>
        <v>-555.0645</v>
      </c>
      <c r="L168" s="68">
        <f t="shared" si="77"/>
        <v>-815.1486</v>
      </c>
      <c r="M168" s="69"/>
      <c r="N168" s="41"/>
      <c r="O168" s="22"/>
      <c r="P168" s="22"/>
    </row>
    <row r="169" spans="2:16" ht="12.75">
      <c r="B169" s="15"/>
      <c r="C169" s="16"/>
      <c r="D169" s="38"/>
      <c r="E169" s="63">
        <f t="shared" si="78"/>
        <v>154</v>
      </c>
      <c r="F169" s="108">
        <f t="shared" si="79"/>
        <v>47331</v>
      </c>
      <c r="G169" s="64">
        <f t="shared" si="72"/>
        <v>0.03</v>
      </c>
      <c r="H169" s="68">
        <f t="shared" si="73"/>
        <v>221210.63790000006</v>
      </c>
      <c r="I169" s="68">
        <f t="shared" si="74"/>
        <v>221210.6398</v>
      </c>
      <c r="J169" s="68">
        <f t="shared" si="75"/>
        <v>-1370.2131</v>
      </c>
      <c r="K169" s="68">
        <f t="shared" si="76"/>
        <v>-553.0266</v>
      </c>
      <c r="L169" s="68">
        <f t="shared" si="77"/>
        <v>-817.1865</v>
      </c>
      <c r="M169" s="69"/>
      <c r="N169" s="41"/>
      <c r="O169" s="22"/>
      <c r="P169" s="22"/>
    </row>
    <row r="170" spans="2:16" ht="12.75">
      <c r="B170" s="15"/>
      <c r="C170" s="16"/>
      <c r="D170" s="38"/>
      <c r="E170" s="63">
        <f t="shared" si="78"/>
        <v>155</v>
      </c>
      <c r="F170" s="108">
        <f t="shared" si="79"/>
        <v>47362</v>
      </c>
      <c r="G170" s="64">
        <f t="shared" si="72"/>
        <v>0.03</v>
      </c>
      <c r="H170" s="68">
        <f t="shared" si="73"/>
        <v>220393.45140000005</v>
      </c>
      <c r="I170" s="68">
        <f t="shared" si="74"/>
        <v>220393.4533</v>
      </c>
      <c r="J170" s="68">
        <f t="shared" si="75"/>
        <v>-1370.2131</v>
      </c>
      <c r="K170" s="68">
        <f t="shared" si="76"/>
        <v>-550.9836</v>
      </c>
      <c r="L170" s="68">
        <f t="shared" si="77"/>
        <v>-819.2295</v>
      </c>
      <c r="M170" s="69"/>
      <c r="N170" s="41"/>
      <c r="O170" s="22"/>
      <c r="P170" s="22"/>
    </row>
    <row r="171" spans="2:16" ht="12.75">
      <c r="B171" s="15"/>
      <c r="C171" s="16"/>
      <c r="D171" s="38"/>
      <c r="E171" s="63">
        <f t="shared" si="78"/>
        <v>156</v>
      </c>
      <c r="F171" s="108">
        <f t="shared" si="79"/>
        <v>47392</v>
      </c>
      <c r="G171" s="64">
        <f t="shared" si="72"/>
        <v>0.03</v>
      </c>
      <c r="H171" s="68">
        <f t="shared" si="73"/>
        <v>219574.22190000006</v>
      </c>
      <c r="I171" s="68">
        <f t="shared" si="74"/>
        <v>219574.2238</v>
      </c>
      <c r="J171" s="68">
        <f t="shared" si="75"/>
        <v>-1370.2131</v>
      </c>
      <c r="K171" s="68">
        <f t="shared" si="76"/>
        <v>-548.9356</v>
      </c>
      <c r="L171" s="68">
        <f t="shared" si="77"/>
        <v>-821.2775</v>
      </c>
      <c r="M171" s="69"/>
      <c r="N171" s="41"/>
      <c r="O171" s="22"/>
      <c r="P171" s="22"/>
    </row>
    <row r="172" spans="2:16" ht="12.75">
      <c r="B172" s="15"/>
      <c r="C172" s="16"/>
      <c r="D172" s="38"/>
      <c r="E172" s="63">
        <f t="shared" si="78"/>
        <v>157</v>
      </c>
      <c r="F172" s="108">
        <f t="shared" si="79"/>
        <v>47423</v>
      </c>
      <c r="G172" s="64">
        <f t="shared" si="72"/>
        <v>0.03</v>
      </c>
      <c r="H172" s="68">
        <f t="shared" si="73"/>
        <v>218752.94430000006</v>
      </c>
      <c r="I172" s="68">
        <f t="shared" si="74"/>
        <v>218752.9463</v>
      </c>
      <c r="J172" s="68">
        <f t="shared" si="75"/>
        <v>-1370.2131</v>
      </c>
      <c r="K172" s="68">
        <f t="shared" si="76"/>
        <v>-546.8824</v>
      </c>
      <c r="L172" s="68">
        <f t="shared" si="77"/>
        <v>-823.3307</v>
      </c>
      <c r="M172" s="69"/>
      <c r="N172" s="41"/>
      <c r="O172" s="22"/>
      <c r="P172" s="22"/>
    </row>
    <row r="173" spans="2:16" ht="12.75">
      <c r="B173" s="15"/>
      <c r="C173" s="16"/>
      <c r="D173" s="38"/>
      <c r="E173" s="63">
        <f t="shared" si="78"/>
        <v>158</v>
      </c>
      <c r="F173" s="108">
        <f t="shared" si="79"/>
        <v>47453</v>
      </c>
      <c r="G173" s="64">
        <f t="shared" si="72"/>
        <v>0.03</v>
      </c>
      <c r="H173" s="68">
        <f t="shared" si="73"/>
        <v>217929.61360000007</v>
      </c>
      <c r="I173" s="68">
        <f t="shared" si="74"/>
        <v>217929.6156</v>
      </c>
      <c r="J173" s="68">
        <f t="shared" si="75"/>
        <v>-1370.2131</v>
      </c>
      <c r="K173" s="68">
        <f t="shared" si="76"/>
        <v>-544.824</v>
      </c>
      <c r="L173" s="68">
        <f t="shared" si="77"/>
        <v>-825.3891</v>
      </c>
      <c r="M173" s="69"/>
      <c r="N173" s="41"/>
      <c r="O173" s="22"/>
      <c r="P173" s="22"/>
    </row>
    <row r="174" spans="2:16" ht="12.75">
      <c r="B174" s="15"/>
      <c r="C174" s="16"/>
      <c r="D174" s="38"/>
      <c r="E174" s="63">
        <f t="shared" si="78"/>
        <v>159</v>
      </c>
      <c r="F174" s="108">
        <f t="shared" si="79"/>
        <v>47484</v>
      </c>
      <c r="G174" s="64">
        <f t="shared" si="72"/>
        <v>0.03</v>
      </c>
      <c r="H174" s="68">
        <f t="shared" si="73"/>
        <v>217104.22450000007</v>
      </c>
      <c r="I174" s="68">
        <f t="shared" si="74"/>
        <v>217104.2265</v>
      </c>
      <c r="J174" s="68">
        <f t="shared" si="75"/>
        <v>-1370.2131</v>
      </c>
      <c r="K174" s="68">
        <f t="shared" si="76"/>
        <v>-542.7606</v>
      </c>
      <c r="L174" s="68">
        <f t="shared" si="77"/>
        <v>-827.4525</v>
      </c>
      <c r="M174" s="69"/>
      <c r="N174" s="41"/>
      <c r="O174" s="22"/>
      <c r="P174" s="22"/>
    </row>
    <row r="175" spans="2:16" ht="12.75">
      <c r="B175" s="15"/>
      <c r="C175" s="16"/>
      <c r="D175" s="38"/>
      <c r="E175" s="63">
        <f t="shared" si="78"/>
        <v>160</v>
      </c>
      <c r="F175" s="108">
        <f t="shared" si="79"/>
        <v>47515</v>
      </c>
      <c r="G175" s="64">
        <f aca="true" t="shared" si="80" ref="G175:G190">IF(E175&lt;=data6*$C$12,G174,"")</f>
        <v>0.03</v>
      </c>
      <c r="H175" s="68">
        <f aca="true" t="shared" si="81" ref="H175:H190">IF(OR($C$12&lt;0.05,I175&lt;0.05,PERYR&lt;0.05),0,H174+ROUND(PPMT(G174/PERYR,1,$C$11-E174+1,H174),4))</f>
        <v>216276.77200000006</v>
      </c>
      <c r="I175" s="68">
        <f aca="true" t="shared" si="82" ref="I175:I190">IF(H174&gt;0.05,ROUND(I174+L174+M174,4),0)</f>
        <v>216276.774</v>
      </c>
      <c r="J175" s="68">
        <f aca="true" t="shared" si="83" ref="J175:J190">IF(OR($C$12&lt;0.05,I175&lt;0.05,PERYR&lt;0.05,H175&lt;0.05),0,(ROUND(IF(J174+I175&lt;0,-I175+K175,IF($C$10=0,PMT(G175/PERYR,$C$11-E174,H175),-$C$13)),4)))</f>
        <v>-1370.2131</v>
      </c>
      <c r="K175" s="68">
        <f aca="true" t="shared" si="84" ref="K175:K190">IF(OR($C$12&lt;0.05,I175&lt;0.05,PERYR&lt;0.05,H175&lt;0.05),0,(ROUND(IPMT(G175/PERYR,1,$C$11-E174,I175),4)))</f>
        <v>-540.6919</v>
      </c>
      <c r="L175" s="68">
        <f aca="true" t="shared" si="85" ref="L175:L190">-ROUND(MIN(I175,K175-J175),4)</f>
        <v>-829.5212</v>
      </c>
      <c r="M175" s="69"/>
      <c r="N175" s="41"/>
      <c r="O175" s="22"/>
      <c r="P175" s="22"/>
    </row>
    <row r="176" spans="2:16" ht="12.75">
      <c r="B176" s="15"/>
      <c r="C176" s="16"/>
      <c r="D176" s="38"/>
      <c r="E176" s="63">
        <f t="shared" si="78"/>
        <v>161</v>
      </c>
      <c r="F176" s="108">
        <f t="shared" si="79"/>
        <v>47543</v>
      </c>
      <c r="G176" s="64">
        <f t="shared" si="80"/>
        <v>0.03</v>
      </c>
      <c r="H176" s="68">
        <f t="shared" si="81"/>
        <v>215447.25080000007</v>
      </c>
      <c r="I176" s="68">
        <f t="shared" si="82"/>
        <v>215447.2528</v>
      </c>
      <c r="J176" s="68">
        <f t="shared" si="83"/>
        <v>-1370.2131</v>
      </c>
      <c r="K176" s="68">
        <f t="shared" si="84"/>
        <v>-538.6181</v>
      </c>
      <c r="L176" s="68">
        <f t="shared" si="85"/>
        <v>-831.595</v>
      </c>
      <c r="M176" s="69"/>
      <c r="N176" s="41"/>
      <c r="O176" s="22"/>
      <c r="P176" s="22"/>
    </row>
    <row r="177" spans="2:16" ht="12.75">
      <c r="B177" s="15"/>
      <c r="C177" s="16"/>
      <c r="D177" s="38"/>
      <c r="E177" s="63">
        <f aca="true" t="shared" si="86" ref="E177:E192">1+E176</f>
        <v>162</v>
      </c>
      <c r="F177" s="108">
        <f t="shared" si="79"/>
        <v>47574</v>
      </c>
      <c r="G177" s="64">
        <f t="shared" si="80"/>
        <v>0.03</v>
      </c>
      <c r="H177" s="68">
        <f t="shared" si="81"/>
        <v>214615.65580000007</v>
      </c>
      <c r="I177" s="68">
        <f t="shared" si="82"/>
        <v>214615.6578</v>
      </c>
      <c r="J177" s="68">
        <f t="shared" si="83"/>
        <v>-1370.2131</v>
      </c>
      <c r="K177" s="68">
        <f t="shared" si="84"/>
        <v>-536.5391</v>
      </c>
      <c r="L177" s="68">
        <f t="shared" si="85"/>
        <v>-833.674</v>
      </c>
      <c r="M177" s="69"/>
      <c r="N177" s="41"/>
      <c r="O177" s="22"/>
      <c r="P177" s="22"/>
    </row>
    <row r="178" spans="2:16" ht="12.75">
      <c r="B178" s="15"/>
      <c r="C178" s="16"/>
      <c r="D178" s="38"/>
      <c r="E178" s="63">
        <f t="shared" si="86"/>
        <v>163</v>
      </c>
      <c r="F178" s="108">
        <f t="shared" si="79"/>
        <v>47604</v>
      </c>
      <c r="G178" s="64">
        <f t="shared" si="80"/>
        <v>0.03</v>
      </c>
      <c r="H178" s="68">
        <f t="shared" si="81"/>
        <v>213781.98180000007</v>
      </c>
      <c r="I178" s="68">
        <f t="shared" si="82"/>
        <v>213781.9838</v>
      </c>
      <c r="J178" s="68">
        <f t="shared" si="83"/>
        <v>-1370.2131</v>
      </c>
      <c r="K178" s="68">
        <f t="shared" si="84"/>
        <v>-534.455</v>
      </c>
      <c r="L178" s="68">
        <f t="shared" si="85"/>
        <v>-835.7581</v>
      </c>
      <c r="M178" s="69"/>
      <c r="N178" s="41"/>
      <c r="O178" s="22"/>
      <c r="P178" s="22"/>
    </row>
    <row r="179" spans="2:16" ht="12.75">
      <c r="B179" s="15"/>
      <c r="C179" s="16"/>
      <c r="D179" s="38"/>
      <c r="E179" s="63">
        <f t="shared" si="86"/>
        <v>164</v>
      </c>
      <c r="F179" s="108">
        <f aca="true" t="shared" si="87" ref="F179:F194">IF(H179&gt;0.01,DATE(YEAR($F$16),MONTH($F$16)+(E179-1)*12/PERYR,DAY($F$16)),"")</f>
        <v>47635</v>
      </c>
      <c r="G179" s="64">
        <f t="shared" si="80"/>
        <v>0.03</v>
      </c>
      <c r="H179" s="68">
        <f t="shared" si="81"/>
        <v>212946.22360000006</v>
      </c>
      <c r="I179" s="68">
        <f t="shared" si="82"/>
        <v>212946.2257</v>
      </c>
      <c r="J179" s="68">
        <f t="shared" si="83"/>
        <v>-1370.2131</v>
      </c>
      <c r="K179" s="68">
        <f t="shared" si="84"/>
        <v>-532.3656</v>
      </c>
      <c r="L179" s="68">
        <f t="shared" si="85"/>
        <v>-837.8475</v>
      </c>
      <c r="M179" s="69"/>
      <c r="N179" s="41"/>
      <c r="O179" s="22"/>
      <c r="P179" s="22"/>
    </row>
    <row r="180" spans="2:16" ht="12.75">
      <c r="B180" s="15"/>
      <c r="C180" s="16"/>
      <c r="D180" s="38"/>
      <c r="E180" s="63">
        <f t="shared" si="86"/>
        <v>165</v>
      </c>
      <c r="F180" s="108">
        <f t="shared" si="87"/>
        <v>47665</v>
      </c>
      <c r="G180" s="64">
        <f t="shared" si="80"/>
        <v>0.03</v>
      </c>
      <c r="H180" s="68">
        <f t="shared" si="81"/>
        <v>212108.37610000005</v>
      </c>
      <c r="I180" s="68">
        <f t="shared" si="82"/>
        <v>212108.3782</v>
      </c>
      <c r="J180" s="68">
        <f t="shared" si="83"/>
        <v>-1370.2131</v>
      </c>
      <c r="K180" s="68">
        <f t="shared" si="84"/>
        <v>-530.2709</v>
      </c>
      <c r="L180" s="68">
        <f t="shared" si="85"/>
        <v>-839.9422</v>
      </c>
      <c r="M180" s="69"/>
      <c r="N180" s="41"/>
      <c r="O180" s="22"/>
      <c r="P180" s="22"/>
    </row>
    <row r="181" spans="2:16" ht="12.75">
      <c r="B181" s="15"/>
      <c r="C181" s="16"/>
      <c r="D181" s="38"/>
      <c r="E181" s="63">
        <f t="shared" si="86"/>
        <v>166</v>
      </c>
      <c r="F181" s="108">
        <f t="shared" si="87"/>
        <v>47696</v>
      </c>
      <c r="G181" s="64">
        <f t="shared" si="80"/>
        <v>0.03</v>
      </c>
      <c r="H181" s="68">
        <f t="shared" si="81"/>
        <v>211268.43390000006</v>
      </c>
      <c r="I181" s="68">
        <f t="shared" si="82"/>
        <v>211268.436</v>
      </c>
      <c r="J181" s="68">
        <f t="shared" si="83"/>
        <v>-1370.2131</v>
      </c>
      <c r="K181" s="68">
        <f t="shared" si="84"/>
        <v>-528.1711</v>
      </c>
      <c r="L181" s="68">
        <f t="shared" si="85"/>
        <v>-842.042</v>
      </c>
      <c r="M181" s="69"/>
      <c r="N181" s="41"/>
      <c r="O181" s="22"/>
      <c r="P181" s="22"/>
    </row>
    <row r="182" spans="2:16" ht="12.75">
      <c r="B182" s="15"/>
      <c r="C182" s="16"/>
      <c r="D182" s="38"/>
      <c r="E182" s="63">
        <f t="shared" si="86"/>
        <v>167</v>
      </c>
      <c r="F182" s="108">
        <f t="shared" si="87"/>
        <v>47727</v>
      </c>
      <c r="G182" s="64">
        <f t="shared" si="80"/>
        <v>0.03</v>
      </c>
      <c r="H182" s="68">
        <f t="shared" si="81"/>
        <v>210426.39190000008</v>
      </c>
      <c r="I182" s="68">
        <f t="shared" si="82"/>
        <v>210426.394</v>
      </c>
      <c r="J182" s="68">
        <f t="shared" si="83"/>
        <v>-1370.2131</v>
      </c>
      <c r="K182" s="68">
        <f t="shared" si="84"/>
        <v>-526.066</v>
      </c>
      <c r="L182" s="68">
        <f t="shared" si="85"/>
        <v>-844.1471</v>
      </c>
      <c r="M182" s="69"/>
      <c r="N182" s="41"/>
      <c r="O182" s="22"/>
      <c r="P182" s="22"/>
    </row>
    <row r="183" spans="2:16" ht="12.75">
      <c r="B183" s="15"/>
      <c r="C183" s="16"/>
      <c r="D183" s="38"/>
      <c r="E183" s="63">
        <f t="shared" si="86"/>
        <v>168</v>
      </c>
      <c r="F183" s="108">
        <f t="shared" si="87"/>
        <v>47757</v>
      </c>
      <c r="G183" s="64">
        <f t="shared" si="80"/>
        <v>0.03</v>
      </c>
      <c r="H183" s="68">
        <f t="shared" si="81"/>
        <v>209582.24480000007</v>
      </c>
      <c r="I183" s="68">
        <f t="shared" si="82"/>
        <v>209582.2469</v>
      </c>
      <c r="J183" s="68">
        <f t="shared" si="83"/>
        <v>-1370.2131</v>
      </c>
      <c r="K183" s="68">
        <f t="shared" si="84"/>
        <v>-523.9556</v>
      </c>
      <c r="L183" s="68">
        <f t="shared" si="85"/>
        <v>-846.2575</v>
      </c>
      <c r="M183" s="69"/>
      <c r="N183" s="41"/>
      <c r="O183" s="22"/>
      <c r="P183" s="22"/>
    </row>
    <row r="184" spans="2:16" ht="12.75">
      <c r="B184" s="15"/>
      <c r="C184" s="16"/>
      <c r="D184" s="38"/>
      <c r="E184" s="63">
        <f t="shared" si="86"/>
        <v>169</v>
      </c>
      <c r="F184" s="108">
        <f t="shared" si="87"/>
        <v>47788</v>
      </c>
      <c r="G184" s="64">
        <f t="shared" si="80"/>
        <v>0.03</v>
      </c>
      <c r="H184" s="68">
        <f t="shared" si="81"/>
        <v>208735.98730000007</v>
      </c>
      <c r="I184" s="68">
        <f t="shared" si="82"/>
        <v>208735.9894</v>
      </c>
      <c r="J184" s="68">
        <f t="shared" si="83"/>
        <v>-1370.2131</v>
      </c>
      <c r="K184" s="68">
        <f t="shared" si="84"/>
        <v>-521.84</v>
      </c>
      <c r="L184" s="68">
        <f t="shared" si="85"/>
        <v>-848.3731</v>
      </c>
      <c r="M184" s="69"/>
      <c r="N184" s="41"/>
      <c r="O184" s="22"/>
      <c r="P184" s="22"/>
    </row>
    <row r="185" spans="2:16" ht="12.75">
      <c r="B185" s="15"/>
      <c r="C185" s="16"/>
      <c r="D185" s="38"/>
      <c r="E185" s="63">
        <f t="shared" si="86"/>
        <v>170</v>
      </c>
      <c r="F185" s="108">
        <f t="shared" si="87"/>
        <v>47818</v>
      </c>
      <c r="G185" s="64">
        <f t="shared" si="80"/>
        <v>0.03</v>
      </c>
      <c r="H185" s="68">
        <f t="shared" si="81"/>
        <v>207887.61420000007</v>
      </c>
      <c r="I185" s="68">
        <f t="shared" si="82"/>
        <v>207887.6163</v>
      </c>
      <c r="J185" s="68">
        <f t="shared" si="83"/>
        <v>-1370.2131</v>
      </c>
      <c r="K185" s="68">
        <f t="shared" si="84"/>
        <v>-519.719</v>
      </c>
      <c r="L185" s="68">
        <f t="shared" si="85"/>
        <v>-850.4941</v>
      </c>
      <c r="M185" s="69"/>
      <c r="N185" s="41"/>
      <c r="O185" s="22"/>
      <c r="P185" s="22"/>
    </row>
    <row r="186" spans="2:16" ht="12.75">
      <c r="B186" s="15"/>
      <c r="C186" s="16"/>
      <c r="D186" s="38"/>
      <c r="E186" s="63">
        <f t="shared" si="86"/>
        <v>171</v>
      </c>
      <c r="F186" s="108">
        <f t="shared" si="87"/>
        <v>47849</v>
      </c>
      <c r="G186" s="64">
        <f t="shared" si="80"/>
        <v>0.03</v>
      </c>
      <c r="H186" s="68">
        <f t="shared" si="81"/>
        <v>207037.12010000006</v>
      </c>
      <c r="I186" s="68">
        <f t="shared" si="82"/>
        <v>207037.1222</v>
      </c>
      <c r="J186" s="68">
        <f t="shared" si="83"/>
        <v>-1370.2131</v>
      </c>
      <c r="K186" s="68">
        <f t="shared" si="84"/>
        <v>-517.5928</v>
      </c>
      <c r="L186" s="68">
        <f t="shared" si="85"/>
        <v>-852.6203</v>
      </c>
      <c r="M186" s="69"/>
      <c r="N186" s="41"/>
      <c r="O186" s="22"/>
      <c r="P186" s="22"/>
    </row>
    <row r="187" spans="2:16" ht="12.75">
      <c r="B187" s="15"/>
      <c r="C187" s="16"/>
      <c r="D187" s="38"/>
      <c r="E187" s="63">
        <f t="shared" si="86"/>
        <v>172</v>
      </c>
      <c r="F187" s="108">
        <f t="shared" si="87"/>
        <v>47880</v>
      </c>
      <c r="G187" s="64">
        <f t="shared" si="80"/>
        <v>0.03</v>
      </c>
      <c r="H187" s="68">
        <f t="shared" si="81"/>
        <v>206184.49980000005</v>
      </c>
      <c r="I187" s="68">
        <f t="shared" si="82"/>
        <v>206184.5019</v>
      </c>
      <c r="J187" s="68">
        <f t="shared" si="83"/>
        <v>-1370.2131</v>
      </c>
      <c r="K187" s="68">
        <f t="shared" si="84"/>
        <v>-515.4613</v>
      </c>
      <c r="L187" s="68">
        <f t="shared" si="85"/>
        <v>-854.7518</v>
      </c>
      <c r="M187" s="69"/>
      <c r="N187" s="41"/>
      <c r="O187" s="22"/>
      <c r="P187" s="22"/>
    </row>
    <row r="188" spans="2:16" ht="12.75">
      <c r="B188" s="15"/>
      <c r="C188" s="16"/>
      <c r="D188" s="38"/>
      <c r="E188" s="63">
        <f t="shared" si="86"/>
        <v>173</v>
      </c>
      <c r="F188" s="108">
        <f t="shared" si="87"/>
        <v>47908</v>
      </c>
      <c r="G188" s="64">
        <f t="shared" si="80"/>
        <v>0.03</v>
      </c>
      <c r="H188" s="68">
        <f t="shared" si="81"/>
        <v>205329.74790000005</v>
      </c>
      <c r="I188" s="68">
        <f t="shared" si="82"/>
        <v>205329.7501</v>
      </c>
      <c r="J188" s="68">
        <f t="shared" si="83"/>
        <v>-1370.2131</v>
      </c>
      <c r="K188" s="68">
        <f t="shared" si="84"/>
        <v>-513.3244</v>
      </c>
      <c r="L188" s="68">
        <f t="shared" si="85"/>
        <v>-856.8887</v>
      </c>
      <c r="M188" s="69"/>
      <c r="N188" s="41"/>
      <c r="O188" s="22"/>
      <c r="P188" s="22"/>
    </row>
    <row r="189" spans="2:16" ht="12.75">
      <c r="B189" s="15"/>
      <c r="C189" s="16"/>
      <c r="D189" s="38"/>
      <c r="E189" s="63">
        <f t="shared" si="86"/>
        <v>174</v>
      </c>
      <c r="F189" s="108">
        <f t="shared" si="87"/>
        <v>47939</v>
      </c>
      <c r="G189" s="64">
        <f t="shared" si="80"/>
        <v>0.03</v>
      </c>
      <c r="H189" s="68">
        <f t="shared" si="81"/>
        <v>204472.85920000004</v>
      </c>
      <c r="I189" s="68">
        <f t="shared" si="82"/>
        <v>204472.8614</v>
      </c>
      <c r="J189" s="68">
        <f t="shared" si="83"/>
        <v>-1370.2131</v>
      </c>
      <c r="K189" s="68">
        <f t="shared" si="84"/>
        <v>-511.1822</v>
      </c>
      <c r="L189" s="68">
        <f t="shared" si="85"/>
        <v>-859.0309</v>
      </c>
      <c r="M189" s="69"/>
      <c r="N189" s="41"/>
      <c r="O189" s="22"/>
      <c r="P189" s="22"/>
    </row>
    <row r="190" spans="2:16" ht="12.75">
      <c r="B190" s="15"/>
      <c r="C190" s="16"/>
      <c r="D190" s="38"/>
      <c r="E190" s="63">
        <f t="shared" si="86"/>
        <v>175</v>
      </c>
      <c r="F190" s="108">
        <f t="shared" si="87"/>
        <v>47969</v>
      </c>
      <c r="G190" s="64">
        <f t="shared" si="80"/>
        <v>0.03</v>
      </c>
      <c r="H190" s="68">
        <f t="shared" si="81"/>
        <v>203613.82820000005</v>
      </c>
      <c r="I190" s="68">
        <f t="shared" si="82"/>
        <v>203613.8305</v>
      </c>
      <c r="J190" s="68">
        <f t="shared" si="83"/>
        <v>-1370.2131</v>
      </c>
      <c r="K190" s="68">
        <f t="shared" si="84"/>
        <v>-509.0346</v>
      </c>
      <c r="L190" s="68">
        <f t="shared" si="85"/>
        <v>-861.1785</v>
      </c>
      <c r="M190" s="69"/>
      <c r="N190" s="41"/>
      <c r="O190" s="22"/>
      <c r="P190" s="22"/>
    </row>
    <row r="191" spans="2:16" ht="12.75">
      <c r="B191" s="15"/>
      <c r="C191" s="16"/>
      <c r="D191" s="38"/>
      <c r="E191" s="63">
        <f t="shared" si="86"/>
        <v>176</v>
      </c>
      <c r="F191" s="108">
        <f t="shared" si="87"/>
        <v>48000</v>
      </c>
      <c r="G191" s="64">
        <f aca="true" t="shared" si="88" ref="G191:G206">IF(E191&lt;=data6*$C$12,G190,"")</f>
        <v>0.03</v>
      </c>
      <c r="H191" s="68">
        <f aca="true" t="shared" si="89" ref="H191:H206">IF(OR($C$12&lt;0.05,I191&lt;0.05,PERYR&lt;0.05),0,H190+ROUND(PPMT(G190/PERYR,1,$C$11-E190+1,H190),4))</f>
        <v>202752.64970000004</v>
      </c>
      <c r="I191" s="68">
        <f aca="true" t="shared" si="90" ref="I191:I206">IF(H190&gt;0.05,ROUND(I190+L190+M190,4),0)</f>
        <v>202752.652</v>
      </c>
      <c r="J191" s="68">
        <f aca="true" t="shared" si="91" ref="J191:J206">IF(OR($C$12&lt;0.05,I191&lt;0.05,PERYR&lt;0.05,H191&lt;0.05),0,(ROUND(IF(J190+I191&lt;0,-I191+K191,IF($C$10=0,PMT(G191/PERYR,$C$11-E190,H191),-$C$13)),4)))</f>
        <v>-1370.2131</v>
      </c>
      <c r="K191" s="68">
        <f aca="true" t="shared" si="92" ref="K191:K206">IF(OR($C$12&lt;0.05,I191&lt;0.05,PERYR&lt;0.05,H191&lt;0.05),0,(ROUND(IPMT(G191/PERYR,1,$C$11-E190,I191),4)))</f>
        <v>-506.8816</v>
      </c>
      <c r="L191" s="68">
        <f aca="true" t="shared" si="93" ref="L191:L206">-ROUND(MIN(I191,K191-J191),4)</f>
        <v>-863.3315</v>
      </c>
      <c r="M191" s="69"/>
      <c r="N191" s="41"/>
      <c r="O191" s="22"/>
      <c r="P191" s="22"/>
    </row>
    <row r="192" spans="2:16" ht="12.75">
      <c r="B192" s="15"/>
      <c r="C192" s="16"/>
      <c r="D192" s="38"/>
      <c r="E192" s="63">
        <f t="shared" si="86"/>
        <v>177</v>
      </c>
      <c r="F192" s="108">
        <f t="shared" si="87"/>
        <v>48030</v>
      </c>
      <c r="G192" s="64">
        <f t="shared" si="88"/>
        <v>0.03</v>
      </c>
      <c r="H192" s="68">
        <f t="shared" si="89"/>
        <v>201889.31820000004</v>
      </c>
      <c r="I192" s="68">
        <f t="shared" si="90"/>
        <v>201889.3205</v>
      </c>
      <c r="J192" s="68">
        <f t="shared" si="91"/>
        <v>-1370.2131</v>
      </c>
      <c r="K192" s="68">
        <f t="shared" si="92"/>
        <v>-504.7233</v>
      </c>
      <c r="L192" s="68">
        <f t="shared" si="93"/>
        <v>-865.4898</v>
      </c>
      <c r="M192" s="69"/>
      <c r="N192" s="41"/>
      <c r="O192" s="22"/>
      <c r="P192" s="22"/>
    </row>
    <row r="193" spans="2:16" ht="12.75">
      <c r="B193" s="15"/>
      <c r="C193" s="16"/>
      <c r="D193" s="38"/>
      <c r="E193" s="63">
        <f aca="true" t="shared" si="94" ref="E193:E208">1+E192</f>
        <v>178</v>
      </c>
      <c r="F193" s="108">
        <f t="shared" si="87"/>
        <v>48061</v>
      </c>
      <c r="G193" s="64">
        <f t="shared" si="88"/>
        <v>0.03</v>
      </c>
      <c r="H193" s="68">
        <f t="shared" si="89"/>
        <v>201023.82840000003</v>
      </c>
      <c r="I193" s="68">
        <f t="shared" si="90"/>
        <v>201023.8307</v>
      </c>
      <c r="J193" s="68">
        <f t="shared" si="91"/>
        <v>-1370.2131</v>
      </c>
      <c r="K193" s="68">
        <f t="shared" si="92"/>
        <v>-502.5596</v>
      </c>
      <c r="L193" s="68">
        <f t="shared" si="93"/>
        <v>-867.6535</v>
      </c>
      <c r="M193" s="69"/>
      <c r="N193" s="41"/>
      <c r="O193" s="22"/>
      <c r="P193" s="22"/>
    </row>
    <row r="194" spans="2:16" ht="12.75">
      <c r="B194" s="15"/>
      <c r="C194" s="16"/>
      <c r="D194" s="38"/>
      <c r="E194" s="63">
        <f t="shared" si="94"/>
        <v>179</v>
      </c>
      <c r="F194" s="108">
        <f t="shared" si="87"/>
        <v>48092</v>
      </c>
      <c r="G194" s="64">
        <f t="shared" si="88"/>
        <v>0.03</v>
      </c>
      <c r="H194" s="68">
        <f t="shared" si="89"/>
        <v>200156.17490000004</v>
      </c>
      <c r="I194" s="68">
        <f t="shared" si="90"/>
        <v>200156.1772</v>
      </c>
      <c r="J194" s="68">
        <f t="shared" si="91"/>
        <v>-1370.2131</v>
      </c>
      <c r="K194" s="68">
        <f t="shared" si="92"/>
        <v>-500.3904</v>
      </c>
      <c r="L194" s="68">
        <f t="shared" si="93"/>
        <v>-869.8227</v>
      </c>
      <c r="M194" s="69"/>
      <c r="N194" s="41"/>
      <c r="O194" s="22"/>
      <c r="P194" s="22"/>
    </row>
    <row r="195" spans="2:16" ht="12.75">
      <c r="B195" s="15"/>
      <c r="C195" s="16"/>
      <c r="D195" s="38"/>
      <c r="E195" s="63">
        <f t="shared" si="94"/>
        <v>180</v>
      </c>
      <c r="F195" s="108">
        <f aca="true" t="shared" si="95" ref="F195:F210">IF(H195&gt;0.01,DATE(YEAR($F$16),MONTH($F$16)+(E195-1)*12/PERYR,DAY($F$16)),"")</f>
        <v>48122</v>
      </c>
      <c r="G195" s="64">
        <f t="shared" si="88"/>
        <v>0.03</v>
      </c>
      <c r="H195" s="68">
        <f t="shared" si="89"/>
        <v>199286.35220000005</v>
      </c>
      <c r="I195" s="68">
        <f t="shared" si="90"/>
        <v>199286.3545</v>
      </c>
      <c r="J195" s="68">
        <f t="shared" si="91"/>
        <v>-1370.2131</v>
      </c>
      <c r="K195" s="68">
        <f t="shared" si="92"/>
        <v>-498.2159</v>
      </c>
      <c r="L195" s="68">
        <f t="shared" si="93"/>
        <v>-871.9972</v>
      </c>
      <c r="M195" s="69"/>
      <c r="N195" s="41"/>
      <c r="O195" s="22"/>
      <c r="P195" s="22"/>
    </row>
    <row r="196" spans="2:16" ht="12.75">
      <c r="B196" s="15"/>
      <c r="C196" s="16"/>
      <c r="D196" s="38"/>
      <c r="E196" s="63">
        <f t="shared" si="94"/>
        <v>181</v>
      </c>
      <c r="F196" s="108">
        <f t="shared" si="95"/>
        <v>48153</v>
      </c>
      <c r="G196" s="64">
        <f t="shared" si="88"/>
        <v>0.03</v>
      </c>
      <c r="H196" s="68">
        <f t="shared" si="89"/>
        <v>198414.35500000004</v>
      </c>
      <c r="I196" s="68">
        <f t="shared" si="90"/>
        <v>198414.3573</v>
      </c>
      <c r="J196" s="68">
        <f t="shared" si="91"/>
        <v>-1370.2131</v>
      </c>
      <c r="K196" s="68">
        <f t="shared" si="92"/>
        <v>-496.0359</v>
      </c>
      <c r="L196" s="68">
        <f t="shared" si="93"/>
        <v>-874.1772</v>
      </c>
      <c r="M196" s="69"/>
      <c r="N196" s="41"/>
      <c r="O196" s="22"/>
      <c r="P196" s="22"/>
    </row>
    <row r="197" spans="2:16" ht="12.75">
      <c r="B197" s="15"/>
      <c r="C197" s="16"/>
      <c r="D197" s="38"/>
      <c r="E197" s="63">
        <f t="shared" si="94"/>
        <v>182</v>
      </c>
      <c r="F197" s="108">
        <f t="shared" si="95"/>
        <v>48183</v>
      </c>
      <c r="G197" s="64">
        <f t="shared" si="88"/>
        <v>0.03</v>
      </c>
      <c r="H197" s="68">
        <f t="shared" si="89"/>
        <v>197540.17780000003</v>
      </c>
      <c r="I197" s="68">
        <f t="shared" si="90"/>
        <v>197540.1801</v>
      </c>
      <c r="J197" s="68">
        <f t="shared" si="91"/>
        <v>-1370.2131</v>
      </c>
      <c r="K197" s="68">
        <f t="shared" si="92"/>
        <v>-493.8505</v>
      </c>
      <c r="L197" s="68">
        <f t="shared" si="93"/>
        <v>-876.3626</v>
      </c>
      <c r="M197" s="69"/>
      <c r="N197" s="41"/>
      <c r="O197" s="22"/>
      <c r="P197" s="22"/>
    </row>
    <row r="198" spans="2:16" ht="12.75">
      <c r="B198" s="15"/>
      <c r="C198" s="16"/>
      <c r="D198" s="38"/>
      <c r="E198" s="63">
        <f t="shared" si="94"/>
        <v>183</v>
      </c>
      <c r="F198" s="108">
        <f t="shared" si="95"/>
        <v>48214</v>
      </c>
      <c r="G198" s="64">
        <f t="shared" si="88"/>
        <v>0.03</v>
      </c>
      <c r="H198" s="68">
        <f t="shared" si="89"/>
        <v>196663.81510000004</v>
      </c>
      <c r="I198" s="68">
        <f t="shared" si="90"/>
        <v>196663.8175</v>
      </c>
      <c r="J198" s="68">
        <f t="shared" si="91"/>
        <v>-1370.2131</v>
      </c>
      <c r="K198" s="68">
        <f t="shared" si="92"/>
        <v>-491.6595</v>
      </c>
      <c r="L198" s="68">
        <f t="shared" si="93"/>
        <v>-878.5536</v>
      </c>
      <c r="M198" s="69"/>
      <c r="N198" s="41"/>
      <c r="O198" s="22"/>
      <c r="P198" s="22"/>
    </row>
    <row r="199" spans="2:16" ht="12.75">
      <c r="B199" s="15"/>
      <c r="C199" s="16"/>
      <c r="D199" s="38"/>
      <c r="E199" s="63">
        <f t="shared" si="94"/>
        <v>184</v>
      </c>
      <c r="F199" s="108">
        <f t="shared" si="95"/>
        <v>48245</v>
      </c>
      <c r="G199" s="64">
        <f t="shared" si="88"/>
        <v>0.03</v>
      </c>
      <c r="H199" s="68">
        <f t="shared" si="89"/>
        <v>195785.26150000002</v>
      </c>
      <c r="I199" s="68">
        <f t="shared" si="90"/>
        <v>195785.2639</v>
      </c>
      <c r="J199" s="68">
        <f t="shared" si="91"/>
        <v>-1370.2131</v>
      </c>
      <c r="K199" s="68">
        <f t="shared" si="92"/>
        <v>-489.4632</v>
      </c>
      <c r="L199" s="68">
        <f t="shared" si="93"/>
        <v>-880.7499</v>
      </c>
      <c r="M199" s="69"/>
      <c r="N199" s="41"/>
      <c r="O199" s="22"/>
      <c r="P199" s="22"/>
    </row>
    <row r="200" spans="2:16" ht="12.75">
      <c r="B200" s="15"/>
      <c r="C200" s="16"/>
      <c r="D200" s="38"/>
      <c r="E200" s="63">
        <f t="shared" si="94"/>
        <v>185</v>
      </c>
      <c r="F200" s="108">
        <f t="shared" si="95"/>
        <v>48274</v>
      </c>
      <c r="G200" s="64">
        <f t="shared" si="88"/>
        <v>0.03</v>
      </c>
      <c r="H200" s="68">
        <f t="shared" si="89"/>
        <v>194904.51150000002</v>
      </c>
      <c r="I200" s="68">
        <f t="shared" si="90"/>
        <v>194904.514</v>
      </c>
      <c r="J200" s="68">
        <f t="shared" si="91"/>
        <v>-1370.2131</v>
      </c>
      <c r="K200" s="68">
        <f t="shared" si="92"/>
        <v>-487.2613</v>
      </c>
      <c r="L200" s="68">
        <f t="shared" si="93"/>
        <v>-882.9518</v>
      </c>
      <c r="M200" s="69"/>
      <c r="N200" s="41"/>
      <c r="O200" s="22"/>
      <c r="P200" s="22"/>
    </row>
    <row r="201" spans="2:16" ht="12.75">
      <c r="B201" s="15"/>
      <c r="C201" s="16"/>
      <c r="D201" s="38"/>
      <c r="E201" s="63">
        <f t="shared" si="94"/>
        <v>186</v>
      </c>
      <c r="F201" s="108">
        <f t="shared" si="95"/>
        <v>48305</v>
      </c>
      <c r="G201" s="64">
        <f t="shared" si="88"/>
        <v>0.03</v>
      </c>
      <c r="H201" s="68">
        <f t="shared" si="89"/>
        <v>194021.5597</v>
      </c>
      <c r="I201" s="68">
        <f t="shared" si="90"/>
        <v>194021.5622</v>
      </c>
      <c r="J201" s="68">
        <f t="shared" si="91"/>
        <v>-1370.2131</v>
      </c>
      <c r="K201" s="68">
        <f t="shared" si="92"/>
        <v>-485.0539</v>
      </c>
      <c r="L201" s="68">
        <f t="shared" si="93"/>
        <v>-885.1592</v>
      </c>
      <c r="M201" s="69"/>
      <c r="N201" s="41"/>
      <c r="O201" s="22"/>
      <c r="P201" s="22"/>
    </row>
    <row r="202" spans="2:16" ht="12.75">
      <c r="B202" s="15"/>
      <c r="C202" s="16"/>
      <c r="D202" s="38"/>
      <c r="E202" s="63">
        <f t="shared" si="94"/>
        <v>187</v>
      </c>
      <c r="F202" s="108">
        <f t="shared" si="95"/>
        <v>48335</v>
      </c>
      <c r="G202" s="64">
        <f t="shared" si="88"/>
        <v>0.03</v>
      </c>
      <c r="H202" s="68">
        <f t="shared" si="89"/>
        <v>193136.40050000002</v>
      </c>
      <c r="I202" s="68">
        <f t="shared" si="90"/>
        <v>193136.403</v>
      </c>
      <c r="J202" s="68">
        <f t="shared" si="91"/>
        <v>-1370.2131</v>
      </c>
      <c r="K202" s="68">
        <f t="shared" si="92"/>
        <v>-482.841</v>
      </c>
      <c r="L202" s="68">
        <f t="shared" si="93"/>
        <v>-887.3721</v>
      </c>
      <c r="M202" s="69"/>
      <c r="N202" s="41"/>
      <c r="O202" s="22"/>
      <c r="P202" s="22"/>
    </row>
    <row r="203" spans="2:16" ht="12.75">
      <c r="B203" s="15"/>
      <c r="C203" s="16"/>
      <c r="D203" s="38"/>
      <c r="E203" s="63">
        <f t="shared" si="94"/>
        <v>188</v>
      </c>
      <c r="F203" s="108">
        <f t="shared" si="95"/>
        <v>48366</v>
      </c>
      <c r="G203" s="64">
        <f t="shared" si="88"/>
        <v>0.03</v>
      </c>
      <c r="H203" s="68">
        <f t="shared" si="89"/>
        <v>192249.0284</v>
      </c>
      <c r="I203" s="68">
        <f t="shared" si="90"/>
        <v>192249.0309</v>
      </c>
      <c r="J203" s="68">
        <f t="shared" si="91"/>
        <v>-1370.2131</v>
      </c>
      <c r="K203" s="68">
        <f t="shared" si="92"/>
        <v>-480.6226</v>
      </c>
      <c r="L203" s="68">
        <f t="shared" si="93"/>
        <v>-889.5905</v>
      </c>
      <c r="M203" s="69"/>
      <c r="N203" s="41"/>
      <c r="O203" s="22"/>
      <c r="P203" s="22"/>
    </row>
    <row r="204" spans="2:16" ht="12.75">
      <c r="B204" s="15"/>
      <c r="C204" s="16"/>
      <c r="D204" s="38"/>
      <c r="E204" s="63">
        <f t="shared" si="94"/>
        <v>189</v>
      </c>
      <c r="F204" s="108">
        <f t="shared" si="95"/>
        <v>48396</v>
      </c>
      <c r="G204" s="64">
        <f t="shared" si="88"/>
        <v>0.03</v>
      </c>
      <c r="H204" s="68">
        <f t="shared" si="89"/>
        <v>191359.43790000002</v>
      </c>
      <c r="I204" s="68">
        <f t="shared" si="90"/>
        <v>191359.4404</v>
      </c>
      <c r="J204" s="68">
        <f t="shared" si="91"/>
        <v>-1370.2131</v>
      </c>
      <c r="K204" s="68">
        <f t="shared" si="92"/>
        <v>-478.3986</v>
      </c>
      <c r="L204" s="68">
        <f t="shared" si="93"/>
        <v>-891.8145</v>
      </c>
      <c r="M204" s="69"/>
      <c r="N204" s="41"/>
      <c r="O204" s="22"/>
      <c r="P204" s="22"/>
    </row>
    <row r="205" spans="2:16" ht="12.75">
      <c r="B205" s="15"/>
      <c r="C205" s="16"/>
      <c r="D205" s="38"/>
      <c r="E205" s="63">
        <f t="shared" si="94"/>
        <v>190</v>
      </c>
      <c r="F205" s="108">
        <f t="shared" si="95"/>
        <v>48427</v>
      </c>
      <c r="G205" s="64">
        <f t="shared" si="88"/>
        <v>0.03</v>
      </c>
      <c r="H205" s="68">
        <f t="shared" si="89"/>
        <v>190467.6234</v>
      </c>
      <c r="I205" s="68">
        <f t="shared" si="90"/>
        <v>190467.6259</v>
      </c>
      <c r="J205" s="68">
        <f t="shared" si="91"/>
        <v>-1370.2131</v>
      </c>
      <c r="K205" s="68">
        <f t="shared" si="92"/>
        <v>-476.1691</v>
      </c>
      <c r="L205" s="68">
        <f t="shared" si="93"/>
        <v>-894.044</v>
      </c>
      <c r="M205" s="69"/>
      <c r="N205" s="41"/>
      <c r="O205" s="22"/>
      <c r="P205" s="22"/>
    </row>
    <row r="206" spans="2:16" ht="12.75">
      <c r="B206" s="15"/>
      <c r="C206" s="16"/>
      <c r="D206" s="38"/>
      <c r="E206" s="63">
        <f t="shared" si="94"/>
        <v>191</v>
      </c>
      <c r="F206" s="108">
        <f t="shared" si="95"/>
        <v>48458</v>
      </c>
      <c r="G206" s="64">
        <f t="shared" si="88"/>
        <v>0.03</v>
      </c>
      <c r="H206" s="68">
        <f t="shared" si="89"/>
        <v>189573.57940000002</v>
      </c>
      <c r="I206" s="68">
        <f t="shared" si="90"/>
        <v>189573.5819</v>
      </c>
      <c r="J206" s="68">
        <f t="shared" si="91"/>
        <v>-1370.2131</v>
      </c>
      <c r="K206" s="68">
        <f t="shared" si="92"/>
        <v>-473.934</v>
      </c>
      <c r="L206" s="68">
        <f t="shared" si="93"/>
        <v>-896.2791</v>
      </c>
      <c r="M206" s="69"/>
      <c r="N206" s="41"/>
      <c r="O206" s="22"/>
      <c r="P206" s="22"/>
    </row>
    <row r="207" spans="2:16" ht="12.75">
      <c r="B207" s="15"/>
      <c r="C207" s="16"/>
      <c r="D207" s="38"/>
      <c r="E207" s="63">
        <f t="shared" si="94"/>
        <v>192</v>
      </c>
      <c r="F207" s="108">
        <f t="shared" si="95"/>
        <v>48488</v>
      </c>
      <c r="G207" s="64">
        <f aca="true" t="shared" si="96" ref="G207:G222">IF(E207&lt;=data6*$C$12,G206,"")</f>
        <v>0.03</v>
      </c>
      <c r="H207" s="68">
        <f aca="true" t="shared" si="97" ref="H207:H222">IF(OR($C$12&lt;0.05,I207&lt;0.05,PERYR&lt;0.05),0,H206+ROUND(PPMT(G206/PERYR,1,$C$11-E206+1,H206),4))</f>
        <v>188677.30020000003</v>
      </c>
      <c r="I207" s="68">
        <f aca="true" t="shared" si="98" ref="I207:I222">IF(H206&gt;0.05,ROUND(I206+L206+M206,4),0)</f>
        <v>188677.3028</v>
      </c>
      <c r="J207" s="68">
        <f aca="true" t="shared" si="99" ref="J207:J222">IF(OR($C$12&lt;0.05,I207&lt;0.05,PERYR&lt;0.05,H207&lt;0.05),0,(ROUND(IF(J206+I207&lt;0,-I207+K207,IF($C$10=0,PMT(G207/PERYR,$C$11-E206,H207),-$C$13)),4)))</f>
        <v>-1370.2131</v>
      </c>
      <c r="K207" s="68">
        <f aca="true" t="shared" si="100" ref="K207:K222">IF(OR($C$12&lt;0.05,I207&lt;0.05,PERYR&lt;0.05,H207&lt;0.05),0,(ROUND(IPMT(G207/PERYR,1,$C$11-E206,I207),4)))</f>
        <v>-471.6933</v>
      </c>
      <c r="L207" s="68">
        <f aca="true" t="shared" si="101" ref="L207:L222">-ROUND(MIN(I207,K207-J207),4)</f>
        <v>-898.5198</v>
      </c>
      <c r="M207" s="69"/>
      <c r="N207" s="41"/>
      <c r="O207" s="22"/>
      <c r="P207" s="22"/>
    </row>
    <row r="208" spans="2:16" ht="12.75">
      <c r="B208" s="15"/>
      <c r="C208" s="16"/>
      <c r="D208" s="38"/>
      <c r="E208" s="63">
        <f t="shared" si="94"/>
        <v>193</v>
      </c>
      <c r="F208" s="108">
        <f t="shared" si="95"/>
        <v>48519</v>
      </c>
      <c r="G208" s="64">
        <f t="shared" si="96"/>
        <v>0.03</v>
      </c>
      <c r="H208" s="68">
        <f t="shared" si="97"/>
        <v>187778.7803</v>
      </c>
      <c r="I208" s="68">
        <f t="shared" si="98"/>
        <v>187778.783</v>
      </c>
      <c r="J208" s="68">
        <f t="shared" si="99"/>
        <v>-1370.2131</v>
      </c>
      <c r="K208" s="68">
        <f t="shared" si="100"/>
        <v>-469.447</v>
      </c>
      <c r="L208" s="68">
        <f t="shared" si="101"/>
        <v>-900.7661</v>
      </c>
      <c r="M208" s="69"/>
      <c r="N208" s="41"/>
      <c r="O208" s="22"/>
      <c r="P208" s="22"/>
    </row>
    <row r="209" spans="2:16" ht="12.75">
      <c r="B209" s="15"/>
      <c r="C209" s="16"/>
      <c r="D209" s="38"/>
      <c r="E209" s="63">
        <f aca="true" t="shared" si="102" ref="E209:E224">1+E208</f>
        <v>194</v>
      </c>
      <c r="F209" s="108">
        <f t="shared" si="95"/>
        <v>48549</v>
      </c>
      <c r="G209" s="64">
        <f t="shared" si="96"/>
        <v>0.03</v>
      </c>
      <c r="H209" s="68">
        <f t="shared" si="97"/>
        <v>186878.0141</v>
      </c>
      <c r="I209" s="68">
        <f t="shared" si="98"/>
        <v>186878.0169</v>
      </c>
      <c r="J209" s="68">
        <f t="shared" si="99"/>
        <v>-1370.2131</v>
      </c>
      <c r="K209" s="68">
        <f t="shared" si="100"/>
        <v>-467.195</v>
      </c>
      <c r="L209" s="68">
        <f t="shared" si="101"/>
        <v>-903.0181</v>
      </c>
      <c r="M209" s="69"/>
      <c r="N209" s="41"/>
      <c r="O209" s="22"/>
      <c r="P209" s="22"/>
    </row>
    <row r="210" spans="2:16" ht="12.75">
      <c r="B210" s="15"/>
      <c r="C210" s="16"/>
      <c r="D210" s="38"/>
      <c r="E210" s="63">
        <f t="shared" si="102"/>
        <v>195</v>
      </c>
      <c r="F210" s="108">
        <f t="shared" si="95"/>
        <v>48580</v>
      </c>
      <c r="G210" s="64">
        <f t="shared" si="96"/>
        <v>0.03</v>
      </c>
      <c r="H210" s="68">
        <f t="shared" si="97"/>
        <v>185974.996</v>
      </c>
      <c r="I210" s="68">
        <f t="shared" si="98"/>
        <v>185974.9988</v>
      </c>
      <c r="J210" s="68">
        <f t="shared" si="99"/>
        <v>-1370.2131</v>
      </c>
      <c r="K210" s="68">
        <f t="shared" si="100"/>
        <v>-464.9375</v>
      </c>
      <c r="L210" s="68">
        <f t="shared" si="101"/>
        <v>-905.2756</v>
      </c>
      <c r="M210" s="69"/>
      <c r="N210" s="41"/>
      <c r="O210" s="22"/>
      <c r="P210" s="22"/>
    </row>
    <row r="211" spans="2:16" ht="12.75">
      <c r="B211" s="15"/>
      <c r="C211" s="16"/>
      <c r="D211" s="38"/>
      <c r="E211" s="63">
        <f t="shared" si="102"/>
        <v>196</v>
      </c>
      <c r="F211" s="108">
        <f aca="true" t="shared" si="103" ref="F211:F226">IF(H211&gt;0.01,DATE(YEAR($F$16),MONTH($F$16)+(E211-1)*12/PERYR,DAY($F$16)),"")</f>
        <v>48611</v>
      </c>
      <c r="G211" s="64">
        <f t="shared" si="96"/>
        <v>0.03</v>
      </c>
      <c r="H211" s="68">
        <f t="shared" si="97"/>
        <v>185069.72040000002</v>
      </c>
      <c r="I211" s="68">
        <f t="shared" si="98"/>
        <v>185069.7232</v>
      </c>
      <c r="J211" s="68">
        <f t="shared" si="99"/>
        <v>-1370.2131</v>
      </c>
      <c r="K211" s="68">
        <f t="shared" si="100"/>
        <v>-462.6743</v>
      </c>
      <c r="L211" s="68">
        <f t="shared" si="101"/>
        <v>-907.5388</v>
      </c>
      <c r="M211" s="69"/>
      <c r="N211" s="41"/>
      <c r="O211" s="22"/>
      <c r="P211" s="22"/>
    </row>
    <row r="212" spans="2:16" ht="12.75">
      <c r="B212" s="15"/>
      <c r="C212" s="16"/>
      <c r="D212" s="38"/>
      <c r="E212" s="63">
        <f t="shared" si="102"/>
        <v>197</v>
      </c>
      <c r="F212" s="108">
        <f t="shared" si="103"/>
        <v>48639</v>
      </c>
      <c r="G212" s="64">
        <f t="shared" si="96"/>
        <v>0.03</v>
      </c>
      <c r="H212" s="68">
        <f t="shared" si="97"/>
        <v>184162.1816</v>
      </c>
      <c r="I212" s="68">
        <f t="shared" si="98"/>
        <v>184162.1844</v>
      </c>
      <c r="J212" s="68">
        <f t="shared" si="99"/>
        <v>-1370.2131</v>
      </c>
      <c r="K212" s="68">
        <f t="shared" si="100"/>
        <v>-460.4055</v>
      </c>
      <c r="L212" s="68">
        <f t="shared" si="101"/>
        <v>-909.8076</v>
      </c>
      <c r="M212" s="69"/>
      <c r="N212" s="41"/>
      <c r="O212" s="22"/>
      <c r="P212" s="22"/>
    </row>
    <row r="213" spans="2:16" ht="12.75">
      <c r="B213" s="15"/>
      <c r="C213" s="16"/>
      <c r="D213" s="38"/>
      <c r="E213" s="63">
        <f t="shared" si="102"/>
        <v>198</v>
      </c>
      <c r="F213" s="108">
        <f t="shared" si="103"/>
        <v>48670</v>
      </c>
      <c r="G213" s="64">
        <f t="shared" si="96"/>
        <v>0.03</v>
      </c>
      <c r="H213" s="68">
        <f t="shared" si="97"/>
        <v>183252.3739</v>
      </c>
      <c r="I213" s="68">
        <f t="shared" si="98"/>
        <v>183252.3768</v>
      </c>
      <c r="J213" s="68">
        <f t="shared" si="99"/>
        <v>-1370.2131</v>
      </c>
      <c r="K213" s="68">
        <f t="shared" si="100"/>
        <v>-458.1309</v>
      </c>
      <c r="L213" s="68">
        <f t="shared" si="101"/>
        <v>-912.0822</v>
      </c>
      <c r="M213" s="69"/>
      <c r="N213" s="41"/>
      <c r="O213" s="22"/>
      <c r="P213" s="22"/>
    </row>
    <row r="214" spans="2:16" ht="12.75">
      <c r="B214" s="15"/>
      <c r="C214" s="16"/>
      <c r="D214" s="38"/>
      <c r="E214" s="63">
        <f t="shared" si="102"/>
        <v>199</v>
      </c>
      <c r="F214" s="108">
        <f t="shared" si="103"/>
        <v>48700</v>
      </c>
      <c r="G214" s="64">
        <f t="shared" si="96"/>
        <v>0.03</v>
      </c>
      <c r="H214" s="68">
        <f t="shared" si="97"/>
        <v>182340.2917</v>
      </c>
      <c r="I214" s="68">
        <f t="shared" si="98"/>
        <v>182340.2946</v>
      </c>
      <c r="J214" s="68">
        <f t="shared" si="99"/>
        <v>-1370.2131</v>
      </c>
      <c r="K214" s="68">
        <f t="shared" si="100"/>
        <v>-455.8507</v>
      </c>
      <c r="L214" s="68">
        <f t="shared" si="101"/>
        <v>-914.3624</v>
      </c>
      <c r="M214" s="69"/>
      <c r="N214" s="41"/>
      <c r="O214" s="22"/>
      <c r="P214" s="22"/>
    </row>
    <row r="215" spans="2:16" ht="12.75">
      <c r="B215" s="15"/>
      <c r="C215" s="16"/>
      <c r="D215" s="38"/>
      <c r="E215" s="63">
        <f t="shared" si="102"/>
        <v>200</v>
      </c>
      <c r="F215" s="108">
        <f t="shared" si="103"/>
        <v>48731</v>
      </c>
      <c r="G215" s="64">
        <f t="shared" si="96"/>
        <v>0.03</v>
      </c>
      <c r="H215" s="68">
        <f t="shared" si="97"/>
        <v>181425.9293</v>
      </c>
      <c r="I215" s="68">
        <f t="shared" si="98"/>
        <v>181425.9322</v>
      </c>
      <c r="J215" s="68">
        <f t="shared" si="99"/>
        <v>-1370.2131</v>
      </c>
      <c r="K215" s="68">
        <f t="shared" si="100"/>
        <v>-453.5648</v>
      </c>
      <c r="L215" s="68">
        <f t="shared" si="101"/>
        <v>-916.6483</v>
      </c>
      <c r="M215" s="69"/>
      <c r="N215" s="41"/>
      <c r="O215" s="22"/>
      <c r="P215" s="22"/>
    </row>
    <row r="216" spans="2:16" ht="12.75">
      <c r="B216" s="15"/>
      <c r="C216" s="16"/>
      <c r="D216" s="38"/>
      <c r="E216" s="63">
        <f t="shared" si="102"/>
        <v>201</v>
      </c>
      <c r="F216" s="108">
        <f t="shared" si="103"/>
        <v>48761</v>
      </c>
      <c r="G216" s="64">
        <f t="shared" si="96"/>
        <v>0.03</v>
      </c>
      <c r="H216" s="68">
        <f t="shared" si="97"/>
        <v>180509.281</v>
      </c>
      <c r="I216" s="68">
        <f t="shared" si="98"/>
        <v>180509.2839</v>
      </c>
      <c r="J216" s="68">
        <f t="shared" si="99"/>
        <v>-1370.2131</v>
      </c>
      <c r="K216" s="68">
        <f t="shared" si="100"/>
        <v>-451.2732</v>
      </c>
      <c r="L216" s="68">
        <f t="shared" si="101"/>
        <v>-918.9399</v>
      </c>
      <c r="M216" s="69"/>
      <c r="N216" s="41"/>
      <c r="O216" s="22"/>
      <c r="P216" s="22"/>
    </row>
    <row r="217" spans="2:16" ht="12.75">
      <c r="B217" s="15"/>
      <c r="C217" s="16"/>
      <c r="D217" s="38"/>
      <c r="E217" s="63">
        <f t="shared" si="102"/>
        <v>202</v>
      </c>
      <c r="F217" s="108">
        <f t="shared" si="103"/>
        <v>48792</v>
      </c>
      <c r="G217" s="64">
        <f t="shared" si="96"/>
        <v>0.03</v>
      </c>
      <c r="H217" s="68">
        <f t="shared" si="97"/>
        <v>179590.3411</v>
      </c>
      <c r="I217" s="68">
        <f t="shared" si="98"/>
        <v>179590.344</v>
      </c>
      <c r="J217" s="68">
        <f t="shared" si="99"/>
        <v>-1370.2131</v>
      </c>
      <c r="K217" s="68">
        <f t="shared" si="100"/>
        <v>-448.9759</v>
      </c>
      <c r="L217" s="68">
        <f t="shared" si="101"/>
        <v>-921.2372</v>
      </c>
      <c r="M217" s="69"/>
      <c r="N217" s="41"/>
      <c r="O217" s="22"/>
      <c r="P217" s="22"/>
    </row>
    <row r="218" spans="2:16" ht="12.75">
      <c r="B218" s="15"/>
      <c r="C218" s="16"/>
      <c r="D218" s="38"/>
      <c r="E218" s="63">
        <f t="shared" si="102"/>
        <v>203</v>
      </c>
      <c r="F218" s="108">
        <f t="shared" si="103"/>
        <v>48823</v>
      </c>
      <c r="G218" s="64">
        <f t="shared" si="96"/>
        <v>0.03</v>
      </c>
      <c r="H218" s="68">
        <f t="shared" si="97"/>
        <v>178669.10379999998</v>
      </c>
      <c r="I218" s="68">
        <f t="shared" si="98"/>
        <v>178669.1068</v>
      </c>
      <c r="J218" s="68">
        <f t="shared" si="99"/>
        <v>-1370.2131</v>
      </c>
      <c r="K218" s="68">
        <f t="shared" si="100"/>
        <v>-446.6728</v>
      </c>
      <c r="L218" s="68">
        <f t="shared" si="101"/>
        <v>-923.5403</v>
      </c>
      <c r="M218" s="69"/>
      <c r="N218" s="41"/>
      <c r="O218" s="22"/>
      <c r="P218" s="22"/>
    </row>
    <row r="219" spans="2:16" ht="12.75">
      <c r="B219" s="15"/>
      <c r="C219" s="16"/>
      <c r="D219" s="38"/>
      <c r="E219" s="63">
        <f t="shared" si="102"/>
        <v>204</v>
      </c>
      <c r="F219" s="108">
        <f t="shared" si="103"/>
        <v>48853</v>
      </c>
      <c r="G219" s="64">
        <f t="shared" si="96"/>
        <v>0.03</v>
      </c>
      <c r="H219" s="68">
        <f t="shared" si="97"/>
        <v>177745.5635</v>
      </c>
      <c r="I219" s="68">
        <f t="shared" si="98"/>
        <v>177745.5665</v>
      </c>
      <c r="J219" s="68">
        <f t="shared" si="99"/>
        <v>-1370.2131</v>
      </c>
      <c r="K219" s="68">
        <f t="shared" si="100"/>
        <v>-444.3639</v>
      </c>
      <c r="L219" s="68">
        <f t="shared" si="101"/>
        <v>-925.8492</v>
      </c>
      <c r="M219" s="69"/>
      <c r="N219" s="41"/>
      <c r="O219" s="22"/>
      <c r="P219" s="22"/>
    </row>
    <row r="220" spans="2:16" ht="12.75">
      <c r="B220" s="15"/>
      <c r="C220" s="16"/>
      <c r="D220" s="38"/>
      <c r="E220" s="63">
        <f t="shared" si="102"/>
        <v>205</v>
      </c>
      <c r="F220" s="108">
        <f t="shared" si="103"/>
        <v>48884</v>
      </c>
      <c r="G220" s="64">
        <f t="shared" si="96"/>
        <v>0.03</v>
      </c>
      <c r="H220" s="68">
        <f t="shared" si="97"/>
        <v>176819.7143</v>
      </c>
      <c r="I220" s="68">
        <f t="shared" si="98"/>
        <v>176819.7173</v>
      </c>
      <c r="J220" s="68">
        <f t="shared" si="99"/>
        <v>-1370.2131</v>
      </c>
      <c r="K220" s="68">
        <f t="shared" si="100"/>
        <v>-442.0493</v>
      </c>
      <c r="L220" s="68">
        <f t="shared" si="101"/>
        <v>-928.1638</v>
      </c>
      <c r="M220" s="69"/>
      <c r="N220" s="41"/>
      <c r="O220" s="22"/>
      <c r="P220" s="22"/>
    </row>
    <row r="221" spans="2:16" ht="12.75">
      <c r="B221" s="15"/>
      <c r="C221" s="16"/>
      <c r="D221" s="38"/>
      <c r="E221" s="63">
        <f t="shared" si="102"/>
        <v>206</v>
      </c>
      <c r="F221" s="108">
        <f t="shared" si="103"/>
        <v>48914</v>
      </c>
      <c r="G221" s="64">
        <f t="shared" si="96"/>
        <v>0.03</v>
      </c>
      <c r="H221" s="68">
        <f t="shared" si="97"/>
        <v>175891.55049999998</v>
      </c>
      <c r="I221" s="68">
        <f t="shared" si="98"/>
        <v>175891.5535</v>
      </c>
      <c r="J221" s="68">
        <f t="shared" si="99"/>
        <v>-1370.2131</v>
      </c>
      <c r="K221" s="68">
        <f t="shared" si="100"/>
        <v>-439.7289</v>
      </c>
      <c r="L221" s="68">
        <f t="shared" si="101"/>
        <v>-930.4842</v>
      </c>
      <c r="M221" s="69"/>
      <c r="N221" s="41"/>
      <c r="O221" s="22"/>
      <c r="P221" s="22"/>
    </row>
    <row r="222" spans="2:16" ht="12.75">
      <c r="B222" s="15"/>
      <c r="C222" s="16"/>
      <c r="D222" s="38"/>
      <c r="E222" s="63">
        <f t="shared" si="102"/>
        <v>207</v>
      </c>
      <c r="F222" s="108">
        <f t="shared" si="103"/>
        <v>48945</v>
      </c>
      <c r="G222" s="64">
        <f t="shared" si="96"/>
        <v>0.03</v>
      </c>
      <c r="H222" s="68">
        <f t="shared" si="97"/>
        <v>174961.06629999998</v>
      </c>
      <c r="I222" s="68">
        <f t="shared" si="98"/>
        <v>174961.0693</v>
      </c>
      <c r="J222" s="68">
        <f t="shared" si="99"/>
        <v>-1370.2131</v>
      </c>
      <c r="K222" s="68">
        <f t="shared" si="100"/>
        <v>-437.4027</v>
      </c>
      <c r="L222" s="68">
        <f t="shared" si="101"/>
        <v>-932.8104</v>
      </c>
      <c r="M222" s="69"/>
      <c r="N222" s="41"/>
      <c r="O222" s="22"/>
      <c r="P222" s="22"/>
    </row>
    <row r="223" spans="2:16" ht="12.75">
      <c r="B223" s="15"/>
      <c r="C223" s="16"/>
      <c r="D223" s="38"/>
      <c r="E223" s="63">
        <f t="shared" si="102"/>
        <v>208</v>
      </c>
      <c r="F223" s="108">
        <f t="shared" si="103"/>
        <v>48976</v>
      </c>
      <c r="G223" s="64">
        <f aca="true" t="shared" si="104" ref="G223:G238">IF(E223&lt;=data6*$C$12,G222,"")</f>
        <v>0.03</v>
      </c>
      <c r="H223" s="68">
        <f aca="true" t="shared" si="105" ref="H223:H238">IF(OR($C$12&lt;0.05,I223&lt;0.05,PERYR&lt;0.05),0,H222+ROUND(PPMT(G222/PERYR,1,$C$11-E222+1,H222),4))</f>
        <v>174028.2559</v>
      </c>
      <c r="I223" s="68">
        <f aca="true" t="shared" si="106" ref="I223:I238">IF(H222&gt;0.05,ROUND(I222+L222+M222,4),0)</f>
        <v>174028.2589</v>
      </c>
      <c r="J223" s="68">
        <f aca="true" t="shared" si="107" ref="J223:J238">IF(OR($C$12&lt;0.05,I223&lt;0.05,PERYR&lt;0.05,H223&lt;0.05),0,(ROUND(IF(J222+I223&lt;0,-I223+K223,IF($C$10=0,PMT(G223/PERYR,$C$11-E222,H223),-$C$13)),4)))</f>
        <v>-1370.2131</v>
      </c>
      <c r="K223" s="68">
        <f aca="true" t="shared" si="108" ref="K223:K238">IF(OR($C$12&lt;0.05,I223&lt;0.05,PERYR&lt;0.05,H223&lt;0.05),0,(ROUND(IPMT(G223/PERYR,1,$C$11-E222,I223),4)))</f>
        <v>-435.0706</v>
      </c>
      <c r="L223" s="68">
        <f aca="true" t="shared" si="109" ref="L223:L238">-ROUND(MIN(I223,K223-J223),4)</f>
        <v>-935.1425</v>
      </c>
      <c r="M223" s="69"/>
      <c r="N223" s="41"/>
      <c r="O223" s="22"/>
      <c r="P223" s="22"/>
    </row>
    <row r="224" spans="2:16" ht="12.75">
      <c r="B224" s="15"/>
      <c r="C224" s="16"/>
      <c r="D224" s="38"/>
      <c r="E224" s="63">
        <f t="shared" si="102"/>
        <v>209</v>
      </c>
      <c r="F224" s="108">
        <f t="shared" si="103"/>
        <v>49004</v>
      </c>
      <c r="G224" s="64">
        <f t="shared" si="104"/>
        <v>0.03</v>
      </c>
      <c r="H224" s="68">
        <f t="shared" si="105"/>
        <v>173093.1134</v>
      </c>
      <c r="I224" s="68">
        <f t="shared" si="106"/>
        <v>173093.1164</v>
      </c>
      <c r="J224" s="68">
        <f t="shared" si="107"/>
        <v>-1370.2131</v>
      </c>
      <c r="K224" s="68">
        <f t="shared" si="108"/>
        <v>-432.7328</v>
      </c>
      <c r="L224" s="68">
        <f t="shared" si="109"/>
        <v>-937.4803</v>
      </c>
      <c r="M224" s="69"/>
      <c r="N224" s="41"/>
      <c r="O224" s="22"/>
      <c r="P224" s="22"/>
    </row>
    <row r="225" spans="2:16" ht="12.75">
      <c r="B225" s="15"/>
      <c r="C225" s="16"/>
      <c r="D225" s="38"/>
      <c r="E225" s="63">
        <f aca="true" t="shared" si="110" ref="E225:E240">1+E224</f>
        <v>210</v>
      </c>
      <c r="F225" s="108">
        <f t="shared" si="103"/>
        <v>49035</v>
      </c>
      <c r="G225" s="64">
        <f t="shared" si="104"/>
        <v>0.03</v>
      </c>
      <c r="H225" s="68">
        <f t="shared" si="105"/>
        <v>172155.6331</v>
      </c>
      <c r="I225" s="68">
        <f t="shared" si="106"/>
        <v>172155.6361</v>
      </c>
      <c r="J225" s="68">
        <f t="shared" si="107"/>
        <v>-1370.2131</v>
      </c>
      <c r="K225" s="68">
        <f t="shared" si="108"/>
        <v>-430.3891</v>
      </c>
      <c r="L225" s="68">
        <f t="shared" si="109"/>
        <v>-939.824</v>
      </c>
      <c r="M225" s="69"/>
      <c r="N225" s="41"/>
      <c r="O225" s="22"/>
      <c r="P225" s="22"/>
    </row>
    <row r="226" spans="2:16" ht="12.75">
      <c r="B226" s="15"/>
      <c r="C226" s="16"/>
      <c r="D226" s="38"/>
      <c r="E226" s="63">
        <f t="shared" si="110"/>
        <v>211</v>
      </c>
      <c r="F226" s="108">
        <f t="shared" si="103"/>
        <v>49065</v>
      </c>
      <c r="G226" s="64">
        <f t="shared" si="104"/>
        <v>0.03</v>
      </c>
      <c r="H226" s="68">
        <f t="shared" si="105"/>
        <v>171215.8091</v>
      </c>
      <c r="I226" s="68">
        <f t="shared" si="106"/>
        <v>171215.8121</v>
      </c>
      <c r="J226" s="68">
        <f t="shared" si="107"/>
        <v>-1370.2131</v>
      </c>
      <c r="K226" s="68">
        <f t="shared" si="108"/>
        <v>-428.0395</v>
      </c>
      <c r="L226" s="68">
        <f t="shared" si="109"/>
        <v>-942.1736</v>
      </c>
      <c r="M226" s="69"/>
      <c r="N226" s="41"/>
      <c r="O226" s="22"/>
      <c r="P226" s="22"/>
    </row>
    <row r="227" spans="2:16" ht="12.75">
      <c r="B227" s="15"/>
      <c r="C227" s="16"/>
      <c r="D227" s="38"/>
      <c r="E227" s="63">
        <f t="shared" si="110"/>
        <v>212</v>
      </c>
      <c r="F227" s="108">
        <f aca="true" t="shared" si="111" ref="F227:F242">IF(H227&gt;0.01,DATE(YEAR($F$16),MONTH($F$16)+(E227-1)*12/PERYR,DAY($F$16)),"")</f>
        <v>49096</v>
      </c>
      <c r="G227" s="64">
        <f t="shared" si="104"/>
        <v>0.03</v>
      </c>
      <c r="H227" s="68">
        <f t="shared" si="105"/>
        <v>170273.6355</v>
      </c>
      <c r="I227" s="68">
        <f t="shared" si="106"/>
        <v>170273.6385</v>
      </c>
      <c r="J227" s="68">
        <f t="shared" si="107"/>
        <v>-1370.2131</v>
      </c>
      <c r="K227" s="68">
        <f t="shared" si="108"/>
        <v>-425.6841</v>
      </c>
      <c r="L227" s="68">
        <f t="shared" si="109"/>
        <v>-944.529</v>
      </c>
      <c r="M227" s="69"/>
      <c r="N227" s="41"/>
      <c r="O227" s="22"/>
      <c r="P227" s="22"/>
    </row>
    <row r="228" spans="2:16" ht="12.75">
      <c r="B228" s="15"/>
      <c r="C228" s="16"/>
      <c r="D228" s="38"/>
      <c r="E228" s="63">
        <f t="shared" si="110"/>
        <v>213</v>
      </c>
      <c r="F228" s="108">
        <f t="shared" si="111"/>
        <v>49126</v>
      </c>
      <c r="G228" s="64">
        <f t="shared" si="104"/>
        <v>0.03</v>
      </c>
      <c r="H228" s="68">
        <f t="shared" si="105"/>
        <v>169329.1065</v>
      </c>
      <c r="I228" s="68">
        <f t="shared" si="106"/>
        <v>169329.1095</v>
      </c>
      <c r="J228" s="68">
        <f t="shared" si="107"/>
        <v>-1370.2131</v>
      </c>
      <c r="K228" s="68">
        <f t="shared" si="108"/>
        <v>-423.3228</v>
      </c>
      <c r="L228" s="68">
        <f t="shared" si="109"/>
        <v>-946.8903</v>
      </c>
      <c r="M228" s="69"/>
      <c r="N228" s="41"/>
      <c r="O228" s="22"/>
      <c r="P228" s="22"/>
    </row>
    <row r="229" spans="2:16" ht="12.75">
      <c r="B229" s="15"/>
      <c r="C229" s="16"/>
      <c r="D229" s="38"/>
      <c r="E229" s="63">
        <f t="shared" si="110"/>
        <v>214</v>
      </c>
      <c r="F229" s="108">
        <f t="shared" si="111"/>
        <v>49157</v>
      </c>
      <c r="G229" s="64">
        <f t="shared" si="104"/>
        <v>0.03</v>
      </c>
      <c r="H229" s="68">
        <f t="shared" si="105"/>
        <v>168382.2162</v>
      </c>
      <c r="I229" s="68">
        <f t="shared" si="106"/>
        <v>168382.2192</v>
      </c>
      <c r="J229" s="68">
        <f t="shared" si="107"/>
        <v>-1370.2131</v>
      </c>
      <c r="K229" s="68">
        <f t="shared" si="108"/>
        <v>-420.9555</v>
      </c>
      <c r="L229" s="68">
        <f t="shared" si="109"/>
        <v>-949.2576</v>
      </c>
      <c r="M229" s="69"/>
      <c r="N229" s="41"/>
      <c r="O229" s="22"/>
      <c r="P229" s="22"/>
    </row>
    <row r="230" spans="2:16" ht="12.75">
      <c r="B230" s="15"/>
      <c r="C230" s="16"/>
      <c r="D230" s="38"/>
      <c r="E230" s="63">
        <f t="shared" si="110"/>
        <v>215</v>
      </c>
      <c r="F230" s="108">
        <f t="shared" si="111"/>
        <v>49188</v>
      </c>
      <c r="G230" s="64">
        <f t="shared" si="104"/>
        <v>0.03</v>
      </c>
      <c r="H230" s="68">
        <f t="shared" si="105"/>
        <v>167432.95859999998</v>
      </c>
      <c r="I230" s="68">
        <f t="shared" si="106"/>
        <v>167432.9616</v>
      </c>
      <c r="J230" s="68">
        <f t="shared" si="107"/>
        <v>-1370.2131</v>
      </c>
      <c r="K230" s="68">
        <f t="shared" si="108"/>
        <v>-418.5824</v>
      </c>
      <c r="L230" s="68">
        <f t="shared" si="109"/>
        <v>-951.6307</v>
      </c>
      <c r="M230" s="69"/>
      <c r="N230" s="41"/>
      <c r="O230" s="22"/>
      <c r="P230" s="22"/>
    </row>
    <row r="231" spans="2:16" ht="12.75">
      <c r="B231" s="15"/>
      <c r="C231" s="16"/>
      <c r="D231" s="38"/>
      <c r="E231" s="63">
        <f t="shared" si="110"/>
        <v>216</v>
      </c>
      <c r="F231" s="108">
        <f t="shared" si="111"/>
        <v>49218</v>
      </c>
      <c r="G231" s="64">
        <f t="shared" si="104"/>
        <v>0.03</v>
      </c>
      <c r="H231" s="68">
        <f t="shared" si="105"/>
        <v>166481.32789999997</v>
      </c>
      <c r="I231" s="68">
        <f t="shared" si="106"/>
        <v>166481.3309</v>
      </c>
      <c r="J231" s="68">
        <f t="shared" si="107"/>
        <v>-1370.2131</v>
      </c>
      <c r="K231" s="68">
        <f t="shared" si="108"/>
        <v>-416.2033</v>
      </c>
      <c r="L231" s="68">
        <f t="shared" si="109"/>
        <v>-954.0098</v>
      </c>
      <c r="M231" s="69"/>
      <c r="N231" s="41"/>
      <c r="O231" s="22"/>
      <c r="P231" s="22"/>
    </row>
    <row r="232" spans="2:16" ht="12.75">
      <c r="B232" s="15"/>
      <c r="C232" s="16"/>
      <c r="D232" s="38"/>
      <c r="E232" s="63">
        <f t="shared" si="110"/>
        <v>217</v>
      </c>
      <c r="F232" s="108">
        <f t="shared" si="111"/>
        <v>49249</v>
      </c>
      <c r="G232" s="64">
        <f t="shared" si="104"/>
        <v>0.03</v>
      </c>
      <c r="H232" s="68">
        <f t="shared" si="105"/>
        <v>165527.31809999997</v>
      </c>
      <c r="I232" s="68">
        <f t="shared" si="106"/>
        <v>165527.3211</v>
      </c>
      <c r="J232" s="68">
        <f t="shared" si="107"/>
        <v>-1370.2131</v>
      </c>
      <c r="K232" s="68">
        <f t="shared" si="108"/>
        <v>-413.8183</v>
      </c>
      <c r="L232" s="68">
        <f t="shared" si="109"/>
        <v>-956.3948</v>
      </c>
      <c r="M232" s="69"/>
      <c r="N232" s="41"/>
      <c r="O232" s="22"/>
      <c r="P232" s="22"/>
    </row>
    <row r="233" spans="2:16" ht="12.75">
      <c r="B233" s="15"/>
      <c r="C233" s="16"/>
      <c r="D233" s="38"/>
      <c r="E233" s="63">
        <f t="shared" si="110"/>
        <v>218</v>
      </c>
      <c r="F233" s="108">
        <f t="shared" si="111"/>
        <v>49279</v>
      </c>
      <c r="G233" s="64">
        <f t="shared" si="104"/>
        <v>0.03</v>
      </c>
      <c r="H233" s="68">
        <f t="shared" si="105"/>
        <v>164570.92329999997</v>
      </c>
      <c r="I233" s="68">
        <f t="shared" si="106"/>
        <v>164570.9263</v>
      </c>
      <c r="J233" s="68">
        <f t="shared" si="107"/>
        <v>-1370.2131</v>
      </c>
      <c r="K233" s="68">
        <f t="shared" si="108"/>
        <v>-411.4273</v>
      </c>
      <c r="L233" s="68">
        <f t="shared" si="109"/>
        <v>-958.7858</v>
      </c>
      <c r="M233" s="69"/>
      <c r="N233" s="41"/>
      <c r="O233" s="22"/>
      <c r="P233" s="22"/>
    </row>
    <row r="234" spans="2:16" ht="12.75">
      <c r="B234" s="15"/>
      <c r="C234" s="16"/>
      <c r="D234" s="38"/>
      <c r="E234" s="63">
        <f t="shared" si="110"/>
        <v>219</v>
      </c>
      <c r="F234" s="108">
        <f t="shared" si="111"/>
        <v>49310</v>
      </c>
      <c r="G234" s="64">
        <f t="shared" si="104"/>
        <v>0.03</v>
      </c>
      <c r="H234" s="68">
        <f t="shared" si="105"/>
        <v>163612.13749999995</v>
      </c>
      <c r="I234" s="68">
        <f t="shared" si="106"/>
        <v>163612.1405</v>
      </c>
      <c r="J234" s="68">
        <f t="shared" si="107"/>
        <v>-1370.2131</v>
      </c>
      <c r="K234" s="68">
        <f t="shared" si="108"/>
        <v>-409.0304</v>
      </c>
      <c r="L234" s="68">
        <f t="shared" si="109"/>
        <v>-961.1827</v>
      </c>
      <c r="M234" s="69"/>
      <c r="N234" s="41"/>
      <c r="O234" s="22"/>
      <c r="P234" s="22"/>
    </row>
    <row r="235" spans="2:16" ht="12.75">
      <c r="B235" s="15"/>
      <c r="C235" s="16"/>
      <c r="D235" s="38"/>
      <c r="E235" s="63">
        <f t="shared" si="110"/>
        <v>220</v>
      </c>
      <c r="F235" s="108">
        <f t="shared" si="111"/>
        <v>49341</v>
      </c>
      <c r="G235" s="64">
        <f t="shared" si="104"/>
        <v>0.03</v>
      </c>
      <c r="H235" s="68">
        <f t="shared" si="105"/>
        <v>162650.95469999994</v>
      </c>
      <c r="I235" s="68">
        <f t="shared" si="106"/>
        <v>162650.9578</v>
      </c>
      <c r="J235" s="68">
        <f t="shared" si="107"/>
        <v>-1370.2131</v>
      </c>
      <c r="K235" s="68">
        <f t="shared" si="108"/>
        <v>-406.6274</v>
      </c>
      <c r="L235" s="68">
        <f t="shared" si="109"/>
        <v>-963.5857</v>
      </c>
      <c r="M235" s="69"/>
      <c r="N235" s="41"/>
      <c r="O235" s="22"/>
      <c r="P235" s="22"/>
    </row>
    <row r="236" spans="2:16" ht="12.75">
      <c r="B236" s="15"/>
      <c r="C236" s="16"/>
      <c r="D236" s="38"/>
      <c r="E236" s="63">
        <f t="shared" si="110"/>
        <v>221</v>
      </c>
      <c r="F236" s="108">
        <f t="shared" si="111"/>
        <v>49369</v>
      </c>
      <c r="G236" s="64">
        <f t="shared" si="104"/>
        <v>0.03</v>
      </c>
      <c r="H236" s="68">
        <f t="shared" si="105"/>
        <v>161687.36899999995</v>
      </c>
      <c r="I236" s="68">
        <f t="shared" si="106"/>
        <v>161687.3721</v>
      </c>
      <c r="J236" s="68">
        <f t="shared" si="107"/>
        <v>-1370.2131</v>
      </c>
      <c r="K236" s="68">
        <f t="shared" si="108"/>
        <v>-404.2184</v>
      </c>
      <c r="L236" s="68">
        <f t="shared" si="109"/>
        <v>-965.9947</v>
      </c>
      <c r="M236" s="69"/>
      <c r="N236" s="41"/>
      <c r="O236" s="22"/>
      <c r="P236" s="22"/>
    </row>
    <row r="237" spans="2:16" ht="12.75">
      <c r="B237" s="15"/>
      <c r="C237" s="16"/>
      <c r="D237" s="38"/>
      <c r="E237" s="63">
        <f t="shared" si="110"/>
        <v>222</v>
      </c>
      <c r="F237" s="108">
        <f t="shared" si="111"/>
        <v>49400</v>
      </c>
      <c r="G237" s="64">
        <f t="shared" si="104"/>
        <v>0.03</v>
      </c>
      <c r="H237" s="68">
        <f t="shared" si="105"/>
        <v>160721.37429999994</v>
      </c>
      <c r="I237" s="68">
        <f t="shared" si="106"/>
        <v>160721.3774</v>
      </c>
      <c r="J237" s="68">
        <f t="shared" si="107"/>
        <v>-1370.2131</v>
      </c>
      <c r="K237" s="68">
        <f t="shared" si="108"/>
        <v>-401.8034</v>
      </c>
      <c r="L237" s="68">
        <f t="shared" si="109"/>
        <v>-968.4097</v>
      </c>
      <c r="M237" s="69"/>
      <c r="N237" s="41"/>
      <c r="O237" s="22"/>
      <c r="P237" s="22"/>
    </row>
    <row r="238" spans="2:16" ht="12.75">
      <c r="B238" s="15"/>
      <c r="C238" s="16"/>
      <c r="D238" s="38"/>
      <c r="E238" s="63">
        <f t="shared" si="110"/>
        <v>223</v>
      </c>
      <c r="F238" s="108">
        <f t="shared" si="111"/>
        <v>49430</v>
      </c>
      <c r="G238" s="64">
        <f t="shared" si="104"/>
        <v>0.03</v>
      </c>
      <c r="H238" s="68">
        <f t="shared" si="105"/>
        <v>159752.96459999995</v>
      </c>
      <c r="I238" s="68">
        <f t="shared" si="106"/>
        <v>159752.9677</v>
      </c>
      <c r="J238" s="68">
        <f t="shared" si="107"/>
        <v>-1370.2131</v>
      </c>
      <c r="K238" s="68">
        <f t="shared" si="108"/>
        <v>-399.3824</v>
      </c>
      <c r="L238" s="68">
        <f t="shared" si="109"/>
        <v>-970.8307</v>
      </c>
      <c r="M238" s="69"/>
      <c r="N238" s="41"/>
      <c r="O238" s="22"/>
      <c r="P238" s="22"/>
    </row>
    <row r="239" spans="2:16" ht="12.75">
      <c r="B239" s="15"/>
      <c r="C239" s="16"/>
      <c r="D239" s="38"/>
      <c r="E239" s="63">
        <f t="shared" si="110"/>
        <v>224</v>
      </c>
      <c r="F239" s="108">
        <f t="shared" si="111"/>
        <v>49461</v>
      </c>
      <c r="G239" s="64">
        <f aca="true" t="shared" si="112" ref="G239:G254">IF(E239&lt;=data6*$C$12,G238,"")</f>
        <v>0.03</v>
      </c>
      <c r="H239" s="68">
        <f aca="true" t="shared" si="113" ref="H239:H254">IF(OR($C$12&lt;0.05,I239&lt;0.05,PERYR&lt;0.05),0,H238+ROUND(PPMT(G238/PERYR,1,$C$11-E238+1,H238),4))</f>
        <v>158782.13389999996</v>
      </c>
      <c r="I239" s="68">
        <f aca="true" t="shared" si="114" ref="I239:I254">IF(H238&gt;0.05,ROUND(I238+L238+M238,4),0)</f>
        <v>158782.137</v>
      </c>
      <c r="J239" s="68">
        <f aca="true" t="shared" si="115" ref="J239:J254">IF(OR($C$12&lt;0.05,I239&lt;0.05,PERYR&lt;0.05,H239&lt;0.05),0,(ROUND(IF(J238+I239&lt;0,-I239+K239,IF($C$10=0,PMT(G239/PERYR,$C$11-E238,H239),-$C$13)),4)))</f>
        <v>-1370.2131</v>
      </c>
      <c r="K239" s="68">
        <f aca="true" t="shared" si="116" ref="K239:K254">IF(OR($C$12&lt;0.05,I239&lt;0.05,PERYR&lt;0.05,H239&lt;0.05),0,(ROUND(IPMT(G239/PERYR,1,$C$11-E238,I239),4)))</f>
        <v>-396.9553</v>
      </c>
      <c r="L239" s="68">
        <f aca="true" t="shared" si="117" ref="L239:L254">-ROUND(MIN(I239,K239-J239),4)</f>
        <v>-973.2578</v>
      </c>
      <c r="M239" s="69"/>
      <c r="N239" s="41"/>
      <c r="O239" s="22"/>
      <c r="P239" s="22"/>
    </row>
    <row r="240" spans="2:16" ht="12.75">
      <c r="B240" s="15"/>
      <c r="C240" s="16"/>
      <c r="D240" s="38"/>
      <c r="E240" s="63">
        <f t="shared" si="110"/>
        <v>225</v>
      </c>
      <c r="F240" s="108">
        <f t="shared" si="111"/>
        <v>49491</v>
      </c>
      <c r="G240" s="64">
        <f t="shared" si="112"/>
        <v>0.03</v>
      </c>
      <c r="H240" s="68">
        <f t="shared" si="113"/>
        <v>157808.87609999996</v>
      </c>
      <c r="I240" s="68">
        <f t="shared" si="114"/>
        <v>157808.8792</v>
      </c>
      <c r="J240" s="68">
        <f t="shared" si="115"/>
        <v>-1370.2131</v>
      </c>
      <c r="K240" s="68">
        <f t="shared" si="116"/>
        <v>-394.5222</v>
      </c>
      <c r="L240" s="68">
        <f t="shared" si="117"/>
        <v>-975.6909</v>
      </c>
      <c r="M240" s="69"/>
      <c r="N240" s="41"/>
      <c r="O240" s="22"/>
      <c r="P240" s="22"/>
    </row>
    <row r="241" spans="2:16" ht="12.75">
      <c r="B241" s="15"/>
      <c r="C241" s="16"/>
      <c r="D241" s="38"/>
      <c r="E241" s="63">
        <f aca="true" t="shared" si="118" ref="E241:E256">1+E240</f>
        <v>226</v>
      </c>
      <c r="F241" s="108">
        <f t="shared" si="111"/>
        <v>49522</v>
      </c>
      <c r="G241" s="64">
        <f t="shared" si="112"/>
        <v>0.03</v>
      </c>
      <c r="H241" s="68">
        <f t="shared" si="113"/>
        <v>156833.18519999998</v>
      </c>
      <c r="I241" s="68">
        <f t="shared" si="114"/>
        <v>156833.1883</v>
      </c>
      <c r="J241" s="68">
        <f t="shared" si="115"/>
        <v>-1370.2131</v>
      </c>
      <c r="K241" s="68">
        <f t="shared" si="116"/>
        <v>-392.083</v>
      </c>
      <c r="L241" s="68">
        <f t="shared" si="117"/>
        <v>-978.1301</v>
      </c>
      <c r="M241" s="69"/>
      <c r="N241" s="41"/>
      <c r="O241" s="22"/>
      <c r="P241" s="22"/>
    </row>
    <row r="242" spans="2:16" ht="12.75">
      <c r="B242" s="15"/>
      <c r="C242" s="16"/>
      <c r="D242" s="38"/>
      <c r="E242" s="63">
        <f t="shared" si="118"/>
        <v>227</v>
      </c>
      <c r="F242" s="108">
        <f t="shared" si="111"/>
        <v>49553</v>
      </c>
      <c r="G242" s="64">
        <f t="shared" si="112"/>
        <v>0.03</v>
      </c>
      <c r="H242" s="68">
        <f t="shared" si="113"/>
        <v>155855.05509999997</v>
      </c>
      <c r="I242" s="68">
        <f t="shared" si="114"/>
        <v>155855.0582</v>
      </c>
      <c r="J242" s="68">
        <f t="shared" si="115"/>
        <v>-1370.2131</v>
      </c>
      <c r="K242" s="68">
        <f t="shared" si="116"/>
        <v>-389.6376</v>
      </c>
      <c r="L242" s="68">
        <f t="shared" si="117"/>
        <v>-980.5755</v>
      </c>
      <c r="M242" s="69"/>
      <c r="N242" s="41"/>
      <c r="O242" s="22"/>
      <c r="P242" s="22"/>
    </row>
    <row r="243" spans="2:16" ht="12.75">
      <c r="B243" s="15"/>
      <c r="C243" s="16"/>
      <c r="D243" s="38"/>
      <c r="E243" s="63">
        <f t="shared" si="118"/>
        <v>228</v>
      </c>
      <c r="F243" s="108">
        <f aca="true" t="shared" si="119" ref="F243:F258">IF(H243&gt;0.01,DATE(YEAR($F$16),MONTH($F$16)+(E243-1)*12/PERYR,DAY($F$16)),"")</f>
        <v>49583</v>
      </c>
      <c r="G243" s="64">
        <f t="shared" si="112"/>
        <v>0.03</v>
      </c>
      <c r="H243" s="68">
        <f t="shared" si="113"/>
        <v>154874.47959999996</v>
      </c>
      <c r="I243" s="68">
        <f t="shared" si="114"/>
        <v>154874.4827</v>
      </c>
      <c r="J243" s="68">
        <f t="shared" si="115"/>
        <v>-1370.2131</v>
      </c>
      <c r="K243" s="68">
        <f t="shared" si="116"/>
        <v>-387.1862</v>
      </c>
      <c r="L243" s="68">
        <f t="shared" si="117"/>
        <v>-983.0269</v>
      </c>
      <c r="M243" s="69"/>
      <c r="N243" s="41"/>
      <c r="O243" s="22"/>
      <c r="P243" s="22"/>
    </row>
    <row r="244" spans="2:16" ht="12.75">
      <c r="B244" s="15"/>
      <c r="C244" s="16"/>
      <c r="D244" s="38"/>
      <c r="E244" s="63">
        <f t="shared" si="118"/>
        <v>229</v>
      </c>
      <c r="F244" s="108">
        <f t="shared" si="119"/>
        <v>49614</v>
      </c>
      <c r="G244" s="64">
        <f t="shared" si="112"/>
        <v>0.03</v>
      </c>
      <c r="H244" s="68">
        <f t="shared" si="113"/>
        <v>153891.45269999997</v>
      </c>
      <c r="I244" s="68">
        <f t="shared" si="114"/>
        <v>153891.4558</v>
      </c>
      <c r="J244" s="68">
        <f t="shared" si="115"/>
        <v>-1370.2131</v>
      </c>
      <c r="K244" s="68">
        <f t="shared" si="116"/>
        <v>-384.7286</v>
      </c>
      <c r="L244" s="68">
        <f t="shared" si="117"/>
        <v>-985.4845</v>
      </c>
      <c r="M244" s="69"/>
      <c r="N244" s="41"/>
      <c r="O244" s="22"/>
      <c r="P244" s="22"/>
    </row>
    <row r="245" spans="2:16" ht="12.75">
      <c r="B245" s="15"/>
      <c r="C245" s="16"/>
      <c r="D245" s="38"/>
      <c r="E245" s="63">
        <f t="shared" si="118"/>
        <v>230</v>
      </c>
      <c r="F245" s="108">
        <f t="shared" si="119"/>
        <v>49644</v>
      </c>
      <c r="G245" s="64">
        <f t="shared" si="112"/>
        <v>0.03</v>
      </c>
      <c r="H245" s="68">
        <f t="shared" si="113"/>
        <v>152905.96819999997</v>
      </c>
      <c r="I245" s="68">
        <f t="shared" si="114"/>
        <v>152905.9713</v>
      </c>
      <c r="J245" s="68">
        <f t="shared" si="115"/>
        <v>-1370.2131</v>
      </c>
      <c r="K245" s="68">
        <f t="shared" si="116"/>
        <v>-382.2649</v>
      </c>
      <c r="L245" s="68">
        <f t="shared" si="117"/>
        <v>-987.9482</v>
      </c>
      <c r="M245" s="69"/>
      <c r="N245" s="41"/>
      <c r="O245" s="22"/>
      <c r="P245" s="22"/>
    </row>
    <row r="246" spans="2:16" ht="12.75">
      <c r="B246" s="15"/>
      <c r="C246" s="16"/>
      <c r="D246" s="38"/>
      <c r="E246" s="63">
        <f t="shared" si="118"/>
        <v>231</v>
      </c>
      <c r="F246" s="108">
        <f t="shared" si="119"/>
        <v>49675</v>
      </c>
      <c r="G246" s="64">
        <f t="shared" si="112"/>
        <v>0.03</v>
      </c>
      <c r="H246" s="68">
        <f t="shared" si="113"/>
        <v>151918.01999999996</v>
      </c>
      <c r="I246" s="68">
        <f t="shared" si="114"/>
        <v>151918.0231</v>
      </c>
      <c r="J246" s="68">
        <f t="shared" si="115"/>
        <v>-1370.2131</v>
      </c>
      <c r="K246" s="68">
        <f t="shared" si="116"/>
        <v>-379.7951</v>
      </c>
      <c r="L246" s="68">
        <f t="shared" si="117"/>
        <v>-990.418</v>
      </c>
      <c r="M246" s="69"/>
      <c r="N246" s="41"/>
      <c r="O246" s="22"/>
      <c r="P246" s="22"/>
    </row>
    <row r="247" spans="2:16" ht="12.75">
      <c r="B247" s="15"/>
      <c r="C247" s="16"/>
      <c r="D247" s="38"/>
      <c r="E247" s="63">
        <f t="shared" si="118"/>
        <v>232</v>
      </c>
      <c r="F247" s="108">
        <f t="shared" si="119"/>
        <v>49706</v>
      </c>
      <c r="G247" s="64">
        <f t="shared" si="112"/>
        <v>0.03</v>
      </c>
      <c r="H247" s="68">
        <f t="shared" si="113"/>
        <v>150927.60189999995</v>
      </c>
      <c r="I247" s="68">
        <f t="shared" si="114"/>
        <v>150927.6051</v>
      </c>
      <c r="J247" s="68">
        <f t="shared" si="115"/>
        <v>-1370.2131</v>
      </c>
      <c r="K247" s="68">
        <f t="shared" si="116"/>
        <v>-377.319</v>
      </c>
      <c r="L247" s="68">
        <f t="shared" si="117"/>
        <v>-992.8941</v>
      </c>
      <c r="M247" s="69"/>
      <c r="N247" s="41"/>
      <c r="O247" s="22"/>
      <c r="P247" s="22"/>
    </row>
    <row r="248" spans="2:16" ht="12.75">
      <c r="B248" s="15"/>
      <c r="C248" s="16"/>
      <c r="D248" s="38"/>
      <c r="E248" s="63">
        <f t="shared" si="118"/>
        <v>233</v>
      </c>
      <c r="F248" s="108">
        <f t="shared" si="119"/>
        <v>49735</v>
      </c>
      <c r="G248" s="64">
        <f t="shared" si="112"/>
        <v>0.03</v>
      </c>
      <c r="H248" s="68">
        <f t="shared" si="113"/>
        <v>149934.70779999995</v>
      </c>
      <c r="I248" s="68">
        <f t="shared" si="114"/>
        <v>149934.711</v>
      </c>
      <c r="J248" s="68">
        <f t="shared" si="115"/>
        <v>-1370.2131</v>
      </c>
      <c r="K248" s="68">
        <f t="shared" si="116"/>
        <v>-374.8368</v>
      </c>
      <c r="L248" s="68">
        <f t="shared" si="117"/>
        <v>-995.3763</v>
      </c>
      <c r="M248" s="69"/>
      <c r="N248" s="41"/>
      <c r="O248" s="22"/>
      <c r="P248" s="22"/>
    </row>
    <row r="249" spans="2:16" ht="12.75">
      <c r="B249" s="15"/>
      <c r="C249" s="16"/>
      <c r="D249" s="38"/>
      <c r="E249" s="63">
        <f t="shared" si="118"/>
        <v>234</v>
      </c>
      <c r="F249" s="108">
        <f t="shared" si="119"/>
        <v>49766</v>
      </c>
      <c r="G249" s="64">
        <f t="shared" si="112"/>
        <v>0.03</v>
      </c>
      <c r="H249" s="68">
        <f t="shared" si="113"/>
        <v>148939.33149999994</v>
      </c>
      <c r="I249" s="68">
        <f t="shared" si="114"/>
        <v>148939.3347</v>
      </c>
      <c r="J249" s="68">
        <f t="shared" si="115"/>
        <v>-1370.2131</v>
      </c>
      <c r="K249" s="68">
        <f t="shared" si="116"/>
        <v>-372.3483</v>
      </c>
      <c r="L249" s="68">
        <f t="shared" si="117"/>
        <v>-997.8648</v>
      </c>
      <c r="M249" s="69"/>
      <c r="N249" s="41"/>
      <c r="O249" s="22"/>
      <c r="P249" s="22"/>
    </row>
    <row r="250" spans="2:16" ht="12.75">
      <c r="B250" s="15"/>
      <c r="C250" s="16"/>
      <c r="D250" s="38"/>
      <c r="E250" s="63">
        <f t="shared" si="118"/>
        <v>235</v>
      </c>
      <c r="F250" s="108">
        <f t="shared" si="119"/>
        <v>49796</v>
      </c>
      <c r="G250" s="64">
        <f t="shared" si="112"/>
        <v>0.03</v>
      </c>
      <c r="H250" s="68">
        <f t="shared" si="113"/>
        <v>147941.46669999993</v>
      </c>
      <c r="I250" s="68">
        <f t="shared" si="114"/>
        <v>147941.4699</v>
      </c>
      <c r="J250" s="68">
        <f t="shared" si="115"/>
        <v>-1370.2131</v>
      </c>
      <c r="K250" s="68">
        <f t="shared" si="116"/>
        <v>-369.8537</v>
      </c>
      <c r="L250" s="68">
        <f t="shared" si="117"/>
        <v>-1000.3594</v>
      </c>
      <c r="M250" s="69"/>
      <c r="N250" s="41"/>
      <c r="O250" s="22"/>
      <c r="P250" s="22"/>
    </row>
    <row r="251" spans="2:16" ht="12.75">
      <c r="B251" s="15"/>
      <c r="C251" s="16"/>
      <c r="D251" s="38"/>
      <c r="E251" s="63">
        <f t="shared" si="118"/>
        <v>236</v>
      </c>
      <c r="F251" s="108">
        <f t="shared" si="119"/>
        <v>49827</v>
      </c>
      <c r="G251" s="64">
        <f t="shared" si="112"/>
        <v>0.03</v>
      </c>
      <c r="H251" s="68">
        <f t="shared" si="113"/>
        <v>146941.10729999995</v>
      </c>
      <c r="I251" s="68">
        <f t="shared" si="114"/>
        <v>146941.1105</v>
      </c>
      <c r="J251" s="68">
        <f t="shared" si="115"/>
        <v>-1370.2131</v>
      </c>
      <c r="K251" s="68">
        <f t="shared" si="116"/>
        <v>-367.3528</v>
      </c>
      <c r="L251" s="68">
        <f t="shared" si="117"/>
        <v>-1002.8603</v>
      </c>
      <c r="M251" s="69"/>
      <c r="N251" s="41"/>
      <c r="O251" s="22"/>
      <c r="P251" s="22"/>
    </row>
    <row r="252" spans="2:16" ht="12.75">
      <c r="B252" s="15"/>
      <c r="C252" s="16"/>
      <c r="D252" s="38"/>
      <c r="E252" s="63">
        <f t="shared" si="118"/>
        <v>237</v>
      </c>
      <c r="F252" s="108">
        <f t="shared" si="119"/>
        <v>49857</v>
      </c>
      <c r="G252" s="64">
        <f t="shared" si="112"/>
        <v>0.03</v>
      </c>
      <c r="H252" s="68">
        <f t="shared" si="113"/>
        <v>145938.24699999994</v>
      </c>
      <c r="I252" s="68">
        <f t="shared" si="114"/>
        <v>145938.2502</v>
      </c>
      <c r="J252" s="68">
        <f t="shared" si="115"/>
        <v>-1370.2131</v>
      </c>
      <c r="K252" s="68">
        <f t="shared" si="116"/>
        <v>-364.8456</v>
      </c>
      <c r="L252" s="68">
        <f t="shared" si="117"/>
        <v>-1005.3675</v>
      </c>
      <c r="M252" s="69"/>
      <c r="N252" s="41"/>
      <c r="O252" s="22"/>
      <c r="P252" s="22"/>
    </row>
    <row r="253" spans="2:16" ht="12.75">
      <c r="B253" s="15"/>
      <c r="C253" s="16"/>
      <c r="D253" s="38"/>
      <c r="E253" s="63">
        <f t="shared" si="118"/>
        <v>238</v>
      </c>
      <c r="F253" s="108">
        <f t="shared" si="119"/>
        <v>49888</v>
      </c>
      <c r="G253" s="64">
        <f t="shared" si="112"/>
        <v>0.03</v>
      </c>
      <c r="H253" s="68">
        <f t="shared" si="113"/>
        <v>144932.87949999995</v>
      </c>
      <c r="I253" s="68">
        <f t="shared" si="114"/>
        <v>144932.8827</v>
      </c>
      <c r="J253" s="68">
        <f t="shared" si="115"/>
        <v>-1370.2131</v>
      </c>
      <c r="K253" s="68">
        <f t="shared" si="116"/>
        <v>-362.3322</v>
      </c>
      <c r="L253" s="68">
        <f t="shared" si="117"/>
        <v>-1007.8809</v>
      </c>
      <c r="M253" s="69"/>
      <c r="N253" s="41"/>
      <c r="O253" s="22"/>
      <c r="P253" s="22"/>
    </row>
    <row r="254" spans="2:16" ht="12.75">
      <c r="B254" s="15"/>
      <c r="C254" s="16"/>
      <c r="D254" s="38"/>
      <c r="E254" s="63">
        <f t="shared" si="118"/>
        <v>239</v>
      </c>
      <c r="F254" s="108">
        <f t="shared" si="119"/>
        <v>49919</v>
      </c>
      <c r="G254" s="64">
        <f t="shared" si="112"/>
        <v>0.03</v>
      </c>
      <c r="H254" s="68">
        <f t="shared" si="113"/>
        <v>143924.99859999996</v>
      </c>
      <c r="I254" s="68">
        <f t="shared" si="114"/>
        <v>143925.0018</v>
      </c>
      <c r="J254" s="68">
        <f t="shared" si="115"/>
        <v>-1370.2131</v>
      </c>
      <c r="K254" s="68">
        <f t="shared" si="116"/>
        <v>-359.8125</v>
      </c>
      <c r="L254" s="68">
        <f t="shared" si="117"/>
        <v>-1010.4006</v>
      </c>
      <c r="M254" s="69"/>
      <c r="N254" s="41"/>
      <c r="O254" s="22"/>
      <c r="P254" s="22"/>
    </row>
    <row r="255" spans="2:16" ht="12.75">
      <c r="B255" s="15"/>
      <c r="C255" s="16"/>
      <c r="D255" s="38"/>
      <c r="E255" s="63">
        <f t="shared" si="118"/>
        <v>240</v>
      </c>
      <c r="F255" s="108">
        <f t="shared" si="119"/>
        <v>49949</v>
      </c>
      <c r="G255" s="64">
        <f aca="true" t="shared" si="120" ref="G255:G270">IF(E255&lt;=data6*$C$12,G254,"")</f>
        <v>0.03</v>
      </c>
      <c r="H255" s="68">
        <f aca="true" t="shared" si="121" ref="H255:H270">IF(OR($C$12&lt;0.05,I255&lt;0.05,PERYR&lt;0.05),0,H254+ROUND(PPMT(G254/PERYR,1,$C$11-E254+1,H254),4))</f>
        <v>142914.59799999997</v>
      </c>
      <c r="I255" s="68">
        <f aca="true" t="shared" si="122" ref="I255:I270">IF(H254&gt;0.05,ROUND(I254+L254+M254,4),0)</f>
        <v>142914.6012</v>
      </c>
      <c r="J255" s="68">
        <f aca="true" t="shared" si="123" ref="J255:J270">IF(OR($C$12&lt;0.05,I255&lt;0.05,PERYR&lt;0.05,H255&lt;0.05),0,(ROUND(IF(J254+I255&lt;0,-I255+K255,IF($C$10=0,PMT(G255/PERYR,$C$11-E254,H255),-$C$13)),4)))</f>
        <v>-1370.2131</v>
      </c>
      <c r="K255" s="68">
        <f aca="true" t="shared" si="124" ref="K255:K270">IF(OR($C$12&lt;0.05,I255&lt;0.05,PERYR&lt;0.05,H255&lt;0.05),0,(ROUND(IPMT(G255/PERYR,1,$C$11-E254,I255),4)))</f>
        <v>-357.2865</v>
      </c>
      <c r="L255" s="68">
        <f aca="true" t="shared" si="125" ref="L255:L270">-ROUND(MIN(I255,K255-J255),4)</f>
        <v>-1012.9266</v>
      </c>
      <c r="M255" s="69"/>
      <c r="N255" s="41"/>
      <c r="O255" s="22"/>
      <c r="P255" s="22"/>
    </row>
    <row r="256" spans="2:16" ht="12.75">
      <c r="B256" s="15"/>
      <c r="C256" s="16"/>
      <c r="D256" s="38"/>
      <c r="E256" s="63">
        <f t="shared" si="118"/>
        <v>241</v>
      </c>
      <c r="F256" s="108">
        <f t="shared" si="119"/>
        <v>49980</v>
      </c>
      <c r="G256" s="64">
        <f t="shared" si="120"/>
        <v>0.03</v>
      </c>
      <c r="H256" s="68">
        <f t="shared" si="121"/>
        <v>141901.67139999996</v>
      </c>
      <c r="I256" s="68">
        <f t="shared" si="122"/>
        <v>141901.6746</v>
      </c>
      <c r="J256" s="68">
        <f t="shared" si="123"/>
        <v>-1370.2131</v>
      </c>
      <c r="K256" s="68">
        <f t="shared" si="124"/>
        <v>-354.7542</v>
      </c>
      <c r="L256" s="68">
        <f t="shared" si="125"/>
        <v>-1015.4589</v>
      </c>
      <c r="M256" s="69"/>
      <c r="N256" s="41"/>
      <c r="O256" s="22"/>
      <c r="P256" s="22"/>
    </row>
    <row r="257" spans="2:16" ht="12.75">
      <c r="B257" s="15"/>
      <c r="C257" s="16"/>
      <c r="D257" s="38"/>
      <c r="E257" s="63">
        <f aca="true" t="shared" si="126" ref="E257:E272">1+E256</f>
        <v>242</v>
      </c>
      <c r="F257" s="108">
        <f t="shared" si="119"/>
        <v>50010</v>
      </c>
      <c r="G257" s="64">
        <f t="shared" si="120"/>
        <v>0.03</v>
      </c>
      <c r="H257" s="68">
        <f t="shared" si="121"/>
        <v>140886.21249999997</v>
      </c>
      <c r="I257" s="68">
        <f t="shared" si="122"/>
        <v>140886.2157</v>
      </c>
      <c r="J257" s="68">
        <f t="shared" si="123"/>
        <v>-1370.2131</v>
      </c>
      <c r="K257" s="68">
        <f t="shared" si="124"/>
        <v>-352.2155</v>
      </c>
      <c r="L257" s="68">
        <f t="shared" si="125"/>
        <v>-1017.9976</v>
      </c>
      <c r="M257" s="69"/>
      <c r="N257" s="41"/>
      <c r="O257" s="22"/>
      <c r="P257" s="22"/>
    </row>
    <row r="258" spans="2:16" ht="12.75">
      <c r="B258" s="15"/>
      <c r="C258" s="16"/>
      <c r="D258" s="38"/>
      <c r="E258" s="63">
        <f t="shared" si="126"/>
        <v>243</v>
      </c>
      <c r="F258" s="108">
        <f t="shared" si="119"/>
        <v>50041</v>
      </c>
      <c r="G258" s="64">
        <f t="shared" si="120"/>
        <v>0.03</v>
      </c>
      <c r="H258" s="68">
        <f t="shared" si="121"/>
        <v>139868.21489999996</v>
      </c>
      <c r="I258" s="68">
        <f t="shared" si="122"/>
        <v>139868.2181</v>
      </c>
      <c r="J258" s="68">
        <f t="shared" si="123"/>
        <v>-1370.2131</v>
      </c>
      <c r="K258" s="68">
        <f t="shared" si="124"/>
        <v>-349.6705</v>
      </c>
      <c r="L258" s="68">
        <f t="shared" si="125"/>
        <v>-1020.5426</v>
      </c>
      <c r="M258" s="69"/>
      <c r="N258" s="41"/>
      <c r="O258" s="22"/>
      <c r="P258" s="22"/>
    </row>
    <row r="259" spans="2:16" ht="12.75">
      <c r="B259" s="15"/>
      <c r="C259" s="16"/>
      <c r="D259" s="38"/>
      <c r="E259" s="63">
        <f t="shared" si="126"/>
        <v>244</v>
      </c>
      <c r="F259" s="108">
        <f aca="true" t="shared" si="127" ref="F259:F274">IF(H259&gt;0.01,DATE(YEAR($F$16),MONTH($F$16)+(E259-1)*12/PERYR,DAY($F$16)),"")</f>
        <v>50072</v>
      </c>
      <c r="G259" s="64">
        <f t="shared" si="120"/>
        <v>0.03</v>
      </c>
      <c r="H259" s="68">
        <f t="shared" si="121"/>
        <v>138847.67229999998</v>
      </c>
      <c r="I259" s="68">
        <f t="shared" si="122"/>
        <v>138847.6755</v>
      </c>
      <c r="J259" s="68">
        <f t="shared" si="123"/>
        <v>-1370.2131</v>
      </c>
      <c r="K259" s="68">
        <f t="shared" si="124"/>
        <v>-347.1192</v>
      </c>
      <c r="L259" s="68">
        <f t="shared" si="125"/>
        <v>-1023.0939</v>
      </c>
      <c r="M259" s="69"/>
      <c r="N259" s="41"/>
      <c r="O259" s="22"/>
      <c r="P259" s="22"/>
    </row>
    <row r="260" spans="2:16" ht="12.75">
      <c r="B260" s="15"/>
      <c r="C260" s="16"/>
      <c r="D260" s="38"/>
      <c r="E260" s="63">
        <f t="shared" si="126"/>
        <v>245</v>
      </c>
      <c r="F260" s="108">
        <f t="shared" si="127"/>
        <v>50100</v>
      </c>
      <c r="G260" s="64">
        <f t="shared" si="120"/>
        <v>0.03</v>
      </c>
      <c r="H260" s="68">
        <f t="shared" si="121"/>
        <v>137824.57839999997</v>
      </c>
      <c r="I260" s="68">
        <f t="shared" si="122"/>
        <v>137824.5816</v>
      </c>
      <c r="J260" s="68">
        <f t="shared" si="123"/>
        <v>-1370.2131</v>
      </c>
      <c r="K260" s="68">
        <f t="shared" si="124"/>
        <v>-344.5615</v>
      </c>
      <c r="L260" s="68">
        <f t="shared" si="125"/>
        <v>-1025.6516</v>
      </c>
      <c r="M260" s="69"/>
      <c r="N260" s="41"/>
      <c r="O260" s="22"/>
      <c r="P260" s="22"/>
    </row>
    <row r="261" spans="2:16" ht="12.75">
      <c r="B261" s="15"/>
      <c r="C261" s="16"/>
      <c r="D261" s="38"/>
      <c r="E261" s="63">
        <f t="shared" si="126"/>
        <v>246</v>
      </c>
      <c r="F261" s="108">
        <f t="shared" si="127"/>
        <v>50131</v>
      </c>
      <c r="G261" s="64">
        <f t="shared" si="120"/>
        <v>0.03</v>
      </c>
      <c r="H261" s="68">
        <f t="shared" si="121"/>
        <v>136798.92669999998</v>
      </c>
      <c r="I261" s="68">
        <f t="shared" si="122"/>
        <v>136798.93</v>
      </c>
      <c r="J261" s="68">
        <f t="shared" si="123"/>
        <v>-1370.2131</v>
      </c>
      <c r="K261" s="68">
        <f t="shared" si="124"/>
        <v>-341.9973</v>
      </c>
      <c r="L261" s="68">
        <f t="shared" si="125"/>
        <v>-1028.2158</v>
      </c>
      <c r="M261" s="69"/>
      <c r="N261" s="41"/>
      <c r="O261" s="22"/>
      <c r="P261" s="22"/>
    </row>
    <row r="262" spans="2:16" ht="12.75">
      <c r="B262" s="15"/>
      <c r="C262" s="16"/>
      <c r="D262" s="38"/>
      <c r="E262" s="63">
        <f t="shared" si="126"/>
        <v>247</v>
      </c>
      <c r="F262" s="108">
        <f t="shared" si="127"/>
        <v>50161</v>
      </c>
      <c r="G262" s="64">
        <f t="shared" si="120"/>
        <v>0.03</v>
      </c>
      <c r="H262" s="68">
        <f t="shared" si="121"/>
        <v>135770.71089999998</v>
      </c>
      <c r="I262" s="68">
        <f t="shared" si="122"/>
        <v>135770.7142</v>
      </c>
      <c r="J262" s="68">
        <f t="shared" si="123"/>
        <v>-1370.2131</v>
      </c>
      <c r="K262" s="68">
        <f t="shared" si="124"/>
        <v>-339.4268</v>
      </c>
      <c r="L262" s="68">
        <f t="shared" si="125"/>
        <v>-1030.7863</v>
      </c>
      <c r="M262" s="69"/>
      <c r="N262" s="41"/>
      <c r="O262" s="22"/>
      <c r="P262" s="22"/>
    </row>
    <row r="263" spans="2:16" ht="12.75">
      <c r="B263" s="15"/>
      <c r="C263" s="16"/>
      <c r="D263" s="38"/>
      <c r="E263" s="63">
        <f t="shared" si="126"/>
        <v>248</v>
      </c>
      <c r="F263" s="108">
        <f t="shared" si="127"/>
        <v>50192</v>
      </c>
      <c r="G263" s="64">
        <f t="shared" si="120"/>
        <v>0.03</v>
      </c>
      <c r="H263" s="68">
        <f t="shared" si="121"/>
        <v>134739.92459999997</v>
      </c>
      <c r="I263" s="68">
        <f t="shared" si="122"/>
        <v>134739.9279</v>
      </c>
      <c r="J263" s="68">
        <f t="shared" si="123"/>
        <v>-1370.2131</v>
      </c>
      <c r="K263" s="68">
        <f t="shared" si="124"/>
        <v>-336.8498</v>
      </c>
      <c r="L263" s="68">
        <f t="shared" si="125"/>
        <v>-1033.3633</v>
      </c>
      <c r="M263" s="69"/>
      <c r="N263" s="41"/>
      <c r="O263" s="22"/>
      <c r="P263" s="22"/>
    </row>
    <row r="264" spans="2:16" ht="12.75">
      <c r="B264" s="15"/>
      <c r="C264" s="16"/>
      <c r="D264" s="38"/>
      <c r="E264" s="63">
        <f t="shared" si="126"/>
        <v>249</v>
      </c>
      <c r="F264" s="108">
        <f t="shared" si="127"/>
        <v>50222</v>
      </c>
      <c r="G264" s="64">
        <f t="shared" si="120"/>
        <v>0.03</v>
      </c>
      <c r="H264" s="68">
        <f t="shared" si="121"/>
        <v>133706.56129999997</v>
      </c>
      <c r="I264" s="68">
        <f t="shared" si="122"/>
        <v>133706.5646</v>
      </c>
      <c r="J264" s="68">
        <f t="shared" si="123"/>
        <v>-1370.2131</v>
      </c>
      <c r="K264" s="68">
        <f t="shared" si="124"/>
        <v>-334.2664</v>
      </c>
      <c r="L264" s="68">
        <f t="shared" si="125"/>
        <v>-1035.9467</v>
      </c>
      <c r="M264" s="69"/>
      <c r="N264" s="41"/>
      <c r="O264" s="22"/>
      <c r="P264" s="22"/>
    </row>
    <row r="265" spans="2:16" ht="12.75">
      <c r="B265" s="15"/>
      <c r="C265" s="16"/>
      <c r="D265" s="38"/>
      <c r="E265" s="63">
        <f t="shared" si="126"/>
        <v>250</v>
      </c>
      <c r="F265" s="108">
        <f t="shared" si="127"/>
        <v>50253</v>
      </c>
      <c r="G265" s="64">
        <f t="shared" si="120"/>
        <v>0.03</v>
      </c>
      <c r="H265" s="68">
        <f t="shared" si="121"/>
        <v>132670.61459999997</v>
      </c>
      <c r="I265" s="68">
        <f t="shared" si="122"/>
        <v>132670.6179</v>
      </c>
      <c r="J265" s="68">
        <f t="shared" si="123"/>
        <v>-1370.2131</v>
      </c>
      <c r="K265" s="68">
        <f t="shared" si="124"/>
        <v>-331.6765</v>
      </c>
      <c r="L265" s="68">
        <f t="shared" si="125"/>
        <v>-1038.5366</v>
      </c>
      <c r="M265" s="69"/>
      <c r="N265" s="41"/>
      <c r="O265" s="22"/>
      <c r="P265" s="22"/>
    </row>
    <row r="266" spans="2:16" ht="12.75">
      <c r="B266" s="15"/>
      <c r="C266" s="16"/>
      <c r="D266" s="38"/>
      <c r="E266" s="63">
        <f t="shared" si="126"/>
        <v>251</v>
      </c>
      <c r="F266" s="108">
        <f t="shared" si="127"/>
        <v>50284</v>
      </c>
      <c r="G266" s="64">
        <f t="shared" si="120"/>
        <v>0.03</v>
      </c>
      <c r="H266" s="68">
        <f t="shared" si="121"/>
        <v>131632.07799999998</v>
      </c>
      <c r="I266" s="68">
        <f t="shared" si="122"/>
        <v>131632.0813</v>
      </c>
      <c r="J266" s="68">
        <f t="shared" si="123"/>
        <v>-1370.2131</v>
      </c>
      <c r="K266" s="68">
        <f t="shared" si="124"/>
        <v>-329.0802</v>
      </c>
      <c r="L266" s="68">
        <f t="shared" si="125"/>
        <v>-1041.1329</v>
      </c>
      <c r="M266" s="69"/>
      <c r="N266" s="41"/>
      <c r="O266" s="22"/>
      <c r="P266" s="22"/>
    </row>
    <row r="267" spans="2:16" ht="12.75">
      <c r="B267" s="15"/>
      <c r="C267" s="16"/>
      <c r="D267" s="38"/>
      <c r="E267" s="63">
        <f t="shared" si="126"/>
        <v>252</v>
      </c>
      <c r="F267" s="108">
        <f t="shared" si="127"/>
        <v>50314</v>
      </c>
      <c r="G267" s="64">
        <f t="shared" si="120"/>
        <v>0.03</v>
      </c>
      <c r="H267" s="68">
        <f t="shared" si="121"/>
        <v>130590.94509999998</v>
      </c>
      <c r="I267" s="68">
        <f t="shared" si="122"/>
        <v>130590.9484</v>
      </c>
      <c r="J267" s="68">
        <f t="shared" si="123"/>
        <v>-1370.2131</v>
      </c>
      <c r="K267" s="68">
        <f t="shared" si="124"/>
        <v>-326.4774</v>
      </c>
      <c r="L267" s="68">
        <f t="shared" si="125"/>
        <v>-1043.7357</v>
      </c>
      <c r="M267" s="69"/>
      <c r="N267" s="41"/>
      <c r="O267" s="22"/>
      <c r="P267" s="22"/>
    </row>
    <row r="268" spans="2:16" ht="12.75">
      <c r="B268" s="15"/>
      <c r="C268" s="16"/>
      <c r="D268" s="38"/>
      <c r="E268" s="63">
        <f t="shared" si="126"/>
        <v>253</v>
      </c>
      <c r="F268" s="108">
        <f t="shared" si="127"/>
        <v>50345</v>
      </c>
      <c r="G268" s="64">
        <f t="shared" si="120"/>
        <v>0.03</v>
      </c>
      <c r="H268" s="68">
        <f t="shared" si="121"/>
        <v>129547.20939999998</v>
      </c>
      <c r="I268" s="68">
        <f t="shared" si="122"/>
        <v>129547.2127</v>
      </c>
      <c r="J268" s="68">
        <f t="shared" si="123"/>
        <v>-1370.2131</v>
      </c>
      <c r="K268" s="68">
        <f t="shared" si="124"/>
        <v>-323.868</v>
      </c>
      <c r="L268" s="68">
        <f t="shared" si="125"/>
        <v>-1046.3451</v>
      </c>
      <c r="M268" s="69"/>
      <c r="N268" s="41"/>
      <c r="O268" s="22"/>
      <c r="P268" s="22"/>
    </row>
    <row r="269" spans="2:16" ht="12.75">
      <c r="B269" s="15"/>
      <c r="C269" s="16"/>
      <c r="D269" s="38"/>
      <c r="E269" s="63">
        <f t="shared" si="126"/>
        <v>254</v>
      </c>
      <c r="F269" s="108">
        <f t="shared" si="127"/>
        <v>50375</v>
      </c>
      <c r="G269" s="64">
        <f t="shared" si="120"/>
        <v>0.03</v>
      </c>
      <c r="H269" s="68">
        <f t="shared" si="121"/>
        <v>128500.86429999997</v>
      </c>
      <c r="I269" s="68">
        <f t="shared" si="122"/>
        <v>128500.8676</v>
      </c>
      <c r="J269" s="68">
        <f t="shared" si="123"/>
        <v>-1370.2131</v>
      </c>
      <c r="K269" s="68">
        <f t="shared" si="124"/>
        <v>-321.2522</v>
      </c>
      <c r="L269" s="68">
        <f t="shared" si="125"/>
        <v>-1048.9609</v>
      </c>
      <c r="M269" s="69"/>
      <c r="N269" s="41"/>
      <c r="O269" s="22"/>
      <c r="P269" s="22"/>
    </row>
    <row r="270" spans="2:16" ht="12.75">
      <c r="B270" s="15"/>
      <c r="C270" s="16"/>
      <c r="D270" s="38"/>
      <c r="E270" s="63">
        <f t="shared" si="126"/>
        <v>255</v>
      </c>
      <c r="F270" s="108">
        <f t="shared" si="127"/>
        <v>50406</v>
      </c>
      <c r="G270" s="64">
        <f t="shared" si="120"/>
        <v>0.03</v>
      </c>
      <c r="H270" s="68">
        <f t="shared" si="121"/>
        <v>127451.90339999997</v>
      </c>
      <c r="I270" s="68">
        <f t="shared" si="122"/>
        <v>127451.9067</v>
      </c>
      <c r="J270" s="68">
        <f t="shared" si="123"/>
        <v>-1370.2131</v>
      </c>
      <c r="K270" s="68">
        <f t="shared" si="124"/>
        <v>-318.6298</v>
      </c>
      <c r="L270" s="68">
        <f t="shared" si="125"/>
        <v>-1051.5833</v>
      </c>
      <c r="M270" s="69"/>
      <c r="N270" s="41"/>
      <c r="O270" s="22"/>
      <c r="P270" s="22"/>
    </row>
    <row r="271" spans="2:16" ht="12.75">
      <c r="B271" s="15"/>
      <c r="C271" s="16"/>
      <c r="D271" s="38"/>
      <c r="E271" s="63">
        <f t="shared" si="126"/>
        <v>256</v>
      </c>
      <c r="F271" s="108">
        <f t="shared" si="127"/>
        <v>50437</v>
      </c>
      <c r="G271" s="64">
        <f aca="true" t="shared" si="128" ref="G271:G286">IF(E271&lt;=data6*$C$12,G270,"")</f>
        <v>0.03</v>
      </c>
      <c r="H271" s="68">
        <f aca="true" t="shared" si="129" ref="H271:H286">IF(OR($C$12&lt;0.05,I271&lt;0.05,PERYR&lt;0.05),0,H270+ROUND(PPMT(G270/PERYR,1,$C$11-E270+1,H270),4))</f>
        <v>126400.32009999997</v>
      </c>
      <c r="I271" s="68">
        <f aca="true" t="shared" si="130" ref="I271:I286">IF(H270&gt;0.05,ROUND(I270+L270+M270,4),0)</f>
        <v>126400.3234</v>
      </c>
      <c r="J271" s="68">
        <f aca="true" t="shared" si="131" ref="J271:J286">IF(OR($C$12&lt;0.05,I271&lt;0.05,PERYR&lt;0.05,H271&lt;0.05),0,(ROUND(IF(J270+I271&lt;0,-I271+K271,IF($C$10=0,PMT(G271/PERYR,$C$11-E270,H271),-$C$13)),4)))</f>
        <v>-1370.2131</v>
      </c>
      <c r="K271" s="68">
        <f aca="true" t="shared" si="132" ref="K271:K286">IF(OR($C$12&lt;0.05,I271&lt;0.05,PERYR&lt;0.05,H271&lt;0.05),0,(ROUND(IPMT(G271/PERYR,1,$C$11-E270,I271),4)))</f>
        <v>-316.0008</v>
      </c>
      <c r="L271" s="68">
        <f aca="true" t="shared" si="133" ref="L271:L286">-ROUND(MIN(I271,K271-J271),4)</f>
        <v>-1054.2123</v>
      </c>
      <c r="M271" s="69"/>
      <c r="N271" s="41"/>
      <c r="O271" s="22"/>
      <c r="P271" s="22"/>
    </row>
    <row r="272" spans="2:16" ht="12.75">
      <c r="B272" s="15"/>
      <c r="C272" s="16"/>
      <c r="D272" s="38"/>
      <c r="E272" s="63">
        <f t="shared" si="126"/>
        <v>257</v>
      </c>
      <c r="F272" s="108">
        <f t="shared" si="127"/>
        <v>50465</v>
      </c>
      <c r="G272" s="64">
        <f t="shared" si="128"/>
        <v>0.03</v>
      </c>
      <c r="H272" s="68">
        <f t="shared" si="129"/>
        <v>125346.10779999997</v>
      </c>
      <c r="I272" s="68">
        <f t="shared" si="130"/>
        <v>125346.1111</v>
      </c>
      <c r="J272" s="68">
        <f t="shared" si="131"/>
        <v>-1370.2131</v>
      </c>
      <c r="K272" s="68">
        <f t="shared" si="132"/>
        <v>-313.3653</v>
      </c>
      <c r="L272" s="68">
        <f t="shared" si="133"/>
        <v>-1056.8478</v>
      </c>
      <c r="M272" s="69"/>
      <c r="N272" s="41"/>
      <c r="O272" s="22"/>
      <c r="P272" s="22"/>
    </row>
    <row r="273" spans="2:16" ht="12.75">
      <c r="B273" s="15"/>
      <c r="C273" s="16"/>
      <c r="D273" s="38"/>
      <c r="E273" s="63">
        <f aca="true" t="shared" si="134" ref="E273:E288">1+E272</f>
        <v>258</v>
      </c>
      <c r="F273" s="108">
        <f t="shared" si="127"/>
        <v>50496</v>
      </c>
      <c r="G273" s="64">
        <f t="shared" si="128"/>
        <v>0.03</v>
      </c>
      <c r="H273" s="68">
        <f t="shared" si="129"/>
        <v>124289.25999999997</v>
      </c>
      <c r="I273" s="68">
        <f t="shared" si="130"/>
        <v>124289.2633</v>
      </c>
      <c r="J273" s="68">
        <f t="shared" si="131"/>
        <v>-1370.2131</v>
      </c>
      <c r="K273" s="68">
        <f t="shared" si="132"/>
        <v>-310.7232</v>
      </c>
      <c r="L273" s="68">
        <f t="shared" si="133"/>
        <v>-1059.4899</v>
      </c>
      <c r="M273" s="69"/>
      <c r="N273" s="41"/>
      <c r="O273" s="22"/>
      <c r="P273" s="22"/>
    </row>
    <row r="274" spans="2:16" ht="12.75">
      <c r="B274" s="15"/>
      <c r="C274" s="16"/>
      <c r="D274" s="38"/>
      <c r="E274" s="63">
        <f t="shared" si="134"/>
        <v>259</v>
      </c>
      <c r="F274" s="108">
        <f t="shared" si="127"/>
        <v>50526</v>
      </c>
      <c r="G274" s="64">
        <f t="shared" si="128"/>
        <v>0.03</v>
      </c>
      <c r="H274" s="68">
        <f t="shared" si="129"/>
        <v>123229.76999999996</v>
      </c>
      <c r="I274" s="68">
        <f t="shared" si="130"/>
        <v>123229.7734</v>
      </c>
      <c r="J274" s="68">
        <f t="shared" si="131"/>
        <v>-1370.2131</v>
      </c>
      <c r="K274" s="68">
        <f t="shared" si="132"/>
        <v>-308.0744</v>
      </c>
      <c r="L274" s="68">
        <f t="shared" si="133"/>
        <v>-1062.1387</v>
      </c>
      <c r="M274" s="69"/>
      <c r="N274" s="41"/>
      <c r="O274" s="22"/>
      <c r="P274" s="22"/>
    </row>
    <row r="275" spans="2:16" ht="12.75">
      <c r="B275" s="15"/>
      <c r="C275" s="16"/>
      <c r="D275" s="38"/>
      <c r="E275" s="63">
        <f t="shared" si="134"/>
        <v>260</v>
      </c>
      <c r="F275" s="108">
        <f aca="true" t="shared" si="135" ref="F275:F290">IF(H275&gt;0.01,DATE(YEAR($F$16),MONTH($F$16)+(E275-1)*12/PERYR,DAY($F$16)),"")</f>
        <v>50557</v>
      </c>
      <c r="G275" s="64">
        <f t="shared" si="128"/>
        <v>0.03</v>
      </c>
      <c r="H275" s="68">
        <f t="shared" si="129"/>
        <v>122167.63129999996</v>
      </c>
      <c r="I275" s="68">
        <f t="shared" si="130"/>
        <v>122167.6347</v>
      </c>
      <c r="J275" s="68">
        <f t="shared" si="131"/>
        <v>-1370.2131</v>
      </c>
      <c r="K275" s="68">
        <f t="shared" si="132"/>
        <v>-305.4191</v>
      </c>
      <c r="L275" s="68">
        <f t="shared" si="133"/>
        <v>-1064.794</v>
      </c>
      <c r="M275" s="69"/>
      <c r="N275" s="41"/>
      <c r="O275" s="22"/>
      <c r="P275" s="22"/>
    </row>
    <row r="276" spans="2:16" ht="12.75">
      <c r="B276" s="15"/>
      <c r="C276" s="16"/>
      <c r="D276" s="38"/>
      <c r="E276" s="63">
        <f t="shared" si="134"/>
        <v>261</v>
      </c>
      <c r="F276" s="108">
        <f t="shared" si="135"/>
        <v>50587</v>
      </c>
      <c r="G276" s="64">
        <f t="shared" si="128"/>
        <v>0.03</v>
      </c>
      <c r="H276" s="68">
        <f t="shared" si="129"/>
        <v>121102.83729999997</v>
      </c>
      <c r="I276" s="68">
        <f t="shared" si="130"/>
        <v>121102.8407</v>
      </c>
      <c r="J276" s="68">
        <f t="shared" si="131"/>
        <v>-1370.2131</v>
      </c>
      <c r="K276" s="68">
        <f t="shared" si="132"/>
        <v>-302.7571</v>
      </c>
      <c r="L276" s="68">
        <f t="shared" si="133"/>
        <v>-1067.456</v>
      </c>
      <c r="M276" s="69"/>
      <c r="N276" s="41"/>
      <c r="O276" s="22"/>
      <c r="P276" s="22"/>
    </row>
    <row r="277" spans="2:16" ht="12.75">
      <c r="B277" s="15"/>
      <c r="C277" s="16"/>
      <c r="D277" s="38"/>
      <c r="E277" s="63">
        <f t="shared" si="134"/>
        <v>262</v>
      </c>
      <c r="F277" s="108">
        <f t="shared" si="135"/>
        <v>50618</v>
      </c>
      <c r="G277" s="64">
        <f t="shared" si="128"/>
        <v>0.03</v>
      </c>
      <c r="H277" s="68">
        <f t="shared" si="129"/>
        <v>120035.38129999996</v>
      </c>
      <c r="I277" s="68">
        <f t="shared" si="130"/>
        <v>120035.3847</v>
      </c>
      <c r="J277" s="68">
        <f t="shared" si="131"/>
        <v>-1370.2131</v>
      </c>
      <c r="K277" s="68">
        <f t="shared" si="132"/>
        <v>-300.0885</v>
      </c>
      <c r="L277" s="68">
        <f t="shared" si="133"/>
        <v>-1070.1246</v>
      </c>
      <c r="M277" s="69"/>
      <c r="N277" s="41"/>
      <c r="O277" s="22"/>
      <c r="P277" s="22"/>
    </row>
    <row r="278" spans="2:16" ht="12.75">
      <c r="B278" s="15"/>
      <c r="C278" s="16"/>
      <c r="D278" s="38"/>
      <c r="E278" s="63">
        <f t="shared" si="134"/>
        <v>263</v>
      </c>
      <c r="F278" s="108">
        <f t="shared" si="135"/>
        <v>50649</v>
      </c>
      <c r="G278" s="64">
        <f t="shared" si="128"/>
        <v>0.03</v>
      </c>
      <c r="H278" s="68">
        <f t="shared" si="129"/>
        <v>118965.25659999996</v>
      </c>
      <c r="I278" s="68">
        <f t="shared" si="130"/>
        <v>118965.2601</v>
      </c>
      <c r="J278" s="68">
        <f t="shared" si="131"/>
        <v>-1370.2131</v>
      </c>
      <c r="K278" s="68">
        <f t="shared" si="132"/>
        <v>-297.4132</v>
      </c>
      <c r="L278" s="68">
        <f t="shared" si="133"/>
        <v>-1072.7999</v>
      </c>
      <c r="M278" s="69"/>
      <c r="N278" s="41"/>
      <c r="O278" s="22"/>
      <c r="P278" s="22"/>
    </row>
    <row r="279" spans="2:16" ht="12.75">
      <c r="B279" s="15"/>
      <c r="C279" s="16"/>
      <c r="D279" s="38"/>
      <c r="E279" s="63">
        <f t="shared" si="134"/>
        <v>264</v>
      </c>
      <c r="F279" s="108">
        <f t="shared" si="135"/>
        <v>50679</v>
      </c>
      <c r="G279" s="64">
        <f t="shared" si="128"/>
        <v>0.03</v>
      </c>
      <c r="H279" s="68">
        <f t="shared" si="129"/>
        <v>117892.45659999996</v>
      </c>
      <c r="I279" s="68">
        <f t="shared" si="130"/>
        <v>117892.4602</v>
      </c>
      <c r="J279" s="68">
        <f t="shared" si="131"/>
        <v>-1370.2131</v>
      </c>
      <c r="K279" s="68">
        <f t="shared" si="132"/>
        <v>-294.7312</v>
      </c>
      <c r="L279" s="68">
        <f t="shared" si="133"/>
        <v>-1075.4819</v>
      </c>
      <c r="M279" s="69"/>
      <c r="N279" s="41"/>
      <c r="O279" s="22"/>
      <c r="P279" s="22"/>
    </row>
    <row r="280" spans="2:16" ht="12.75">
      <c r="B280" s="15"/>
      <c r="C280" s="16"/>
      <c r="D280" s="38"/>
      <c r="E280" s="63">
        <f t="shared" si="134"/>
        <v>265</v>
      </c>
      <c r="F280" s="108">
        <f t="shared" si="135"/>
        <v>50710</v>
      </c>
      <c r="G280" s="64">
        <f t="shared" si="128"/>
        <v>0.03</v>
      </c>
      <c r="H280" s="68">
        <f t="shared" si="129"/>
        <v>116816.97459999996</v>
      </c>
      <c r="I280" s="68">
        <f t="shared" si="130"/>
        <v>116816.9783</v>
      </c>
      <c r="J280" s="68">
        <f t="shared" si="131"/>
        <v>-1370.2131</v>
      </c>
      <c r="K280" s="68">
        <f t="shared" si="132"/>
        <v>-292.0424</v>
      </c>
      <c r="L280" s="68">
        <f t="shared" si="133"/>
        <v>-1078.1707</v>
      </c>
      <c r="M280" s="69"/>
      <c r="N280" s="41"/>
      <c r="O280" s="22"/>
      <c r="P280" s="22"/>
    </row>
    <row r="281" spans="2:16" ht="12.75">
      <c r="B281" s="15"/>
      <c r="C281" s="16"/>
      <c r="D281" s="38"/>
      <c r="E281" s="63">
        <f t="shared" si="134"/>
        <v>266</v>
      </c>
      <c r="F281" s="108">
        <f t="shared" si="135"/>
        <v>50740</v>
      </c>
      <c r="G281" s="64">
        <f t="shared" si="128"/>
        <v>0.03</v>
      </c>
      <c r="H281" s="68">
        <f t="shared" si="129"/>
        <v>115738.80389999996</v>
      </c>
      <c r="I281" s="68">
        <f t="shared" si="130"/>
        <v>115738.8076</v>
      </c>
      <c r="J281" s="68">
        <f t="shared" si="131"/>
        <v>-1370.2131</v>
      </c>
      <c r="K281" s="68">
        <f t="shared" si="132"/>
        <v>-289.347</v>
      </c>
      <c r="L281" s="68">
        <f t="shared" si="133"/>
        <v>-1080.8661</v>
      </c>
      <c r="M281" s="69"/>
      <c r="N281" s="41"/>
      <c r="O281" s="22"/>
      <c r="P281" s="22"/>
    </row>
    <row r="282" spans="2:16" ht="12.75">
      <c r="B282" s="15"/>
      <c r="C282" s="16"/>
      <c r="D282" s="38"/>
      <c r="E282" s="63">
        <f t="shared" si="134"/>
        <v>267</v>
      </c>
      <c r="F282" s="108">
        <f t="shared" si="135"/>
        <v>50771</v>
      </c>
      <c r="G282" s="64">
        <f t="shared" si="128"/>
        <v>0.03</v>
      </c>
      <c r="H282" s="68">
        <f t="shared" si="129"/>
        <v>114657.93779999996</v>
      </c>
      <c r="I282" s="68">
        <f t="shared" si="130"/>
        <v>114657.9415</v>
      </c>
      <c r="J282" s="68">
        <f t="shared" si="131"/>
        <v>-1370.2131</v>
      </c>
      <c r="K282" s="68">
        <f t="shared" si="132"/>
        <v>-286.6449</v>
      </c>
      <c r="L282" s="68">
        <f t="shared" si="133"/>
        <v>-1083.5682</v>
      </c>
      <c r="M282" s="69"/>
      <c r="N282" s="41"/>
      <c r="O282" s="22"/>
      <c r="P282" s="22"/>
    </row>
    <row r="283" spans="2:16" ht="12.75">
      <c r="B283" s="15"/>
      <c r="C283" s="16"/>
      <c r="D283" s="38"/>
      <c r="E283" s="63">
        <f t="shared" si="134"/>
        <v>268</v>
      </c>
      <c r="F283" s="108">
        <f t="shared" si="135"/>
        <v>50802</v>
      </c>
      <c r="G283" s="64">
        <f t="shared" si="128"/>
        <v>0.03</v>
      </c>
      <c r="H283" s="68">
        <f t="shared" si="129"/>
        <v>113574.36949999996</v>
      </c>
      <c r="I283" s="68">
        <f t="shared" si="130"/>
        <v>113574.3733</v>
      </c>
      <c r="J283" s="68">
        <f t="shared" si="131"/>
        <v>-1370.2131</v>
      </c>
      <c r="K283" s="68">
        <f t="shared" si="132"/>
        <v>-283.9359</v>
      </c>
      <c r="L283" s="68">
        <f t="shared" si="133"/>
        <v>-1086.2772</v>
      </c>
      <c r="M283" s="69"/>
      <c r="N283" s="41"/>
      <c r="O283" s="22"/>
      <c r="P283" s="22"/>
    </row>
    <row r="284" spans="2:16" ht="12.75">
      <c r="B284" s="15"/>
      <c r="C284" s="16"/>
      <c r="D284" s="38"/>
      <c r="E284" s="63">
        <f t="shared" si="134"/>
        <v>269</v>
      </c>
      <c r="F284" s="108">
        <f t="shared" si="135"/>
        <v>50830</v>
      </c>
      <c r="G284" s="64">
        <f t="shared" si="128"/>
        <v>0.03</v>
      </c>
      <c r="H284" s="68">
        <f t="shared" si="129"/>
        <v>112488.09229999996</v>
      </c>
      <c r="I284" s="68">
        <f t="shared" si="130"/>
        <v>112488.0961</v>
      </c>
      <c r="J284" s="68">
        <f t="shared" si="131"/>
        <v>-1370.2131</v>
      </c>
      <c r="K284" s="68">
        <f t="shared" si="132"/>
        <v>-281.2202</v>
      </c>
      <c r="L284" s="68">
        <f t="shared" si="133"/>
        <v>-1088.9929</v>
      </c>
      <c r="M284" s="69"/>
      <c r="N284" s="41"/>
      <c r="O284" s="22"/>
      <c r="P284" s="22"/>
    </row>
    <row r="285" spans="2:16" ht="12.75">
      <c r="B285" s="15"/>
      <c r="C285" s="16"/>
      <c r="D285" s="38"/>
      <c r="E285" s="63">
        <f t="shared" si="134"/>
        <v>270</v>
      </c>
      <c r="F285" s="108">
        <f t="shared" si="135"/>
        <v>50861</v>
      </c>
      <c r="G285" s="64">
        <f t="shared" si="128"/>
        <v>0.03</v>
      </c>
      <c r="H285" s="68">
        <f t="shared" si="129"/>
        <v>111399.09939999996</v>
      </c>
      <c r="I285" s="68">
        <f t="shared" si="130"/>
        <v>111399.1032</v>
      </c>
      <c r="J285" s="68">
        <f t="shared" si="131"/>
        <v>-1370.2131</v>
      </c>
      <c r="K285" s="68">
        <f t="shared" si="132"/>
        <v>-278.4978</v>
      </c>
      <c r="L285" s="68">
        <f t="shared" si="133"/>
        <v>-1091.7153</v>
      </c>
      <c r="M285" s="69"/>
      <c r="N285" s="41"/>
      <c r="O285" s="22"/>
      <c r="P285" s="22"/>
    </row>
    <row r="286" spans="2:16" ht="12.75">
      <c r="B286" s="15"/>
      <c r="C286" s="16"/>
      <c r="D286" s="38"/>
      <c r="E286" s="63">
        <f t="shared" si="134"/>
        <v>271</v>
      </c>
      <c r="F286" s="108">
        <f t="shared" si="135"/>
        <v>50891</v>
      </c>
      <c r="G286" s="64">
        <f t="shared" si="128"/>
        <v>0.03</v>
      </c>
      <c r="H286" s="68">
        <f t="shared" si="129"/>
        <v>110307.38399999996</v>
      </c>
      <c r="I286" s="68">
        <f t="shared" si="130"/>
        <v>110307.3879</v>
      </c>
      <c r="J286" s="68">
        <f t="shared" si="131"/>
        <v>-1370.2131</v>
      </c>
      <c r="K286" s="68">
        <f t="shared" si="132"/>
        <v>-275.7685</v>
      </c>
      <c r="L286" s="68">
        <f t="shared" si="133"/>
        <v>-1094.4446</v>
      </c>
      <c r="M286" s="69"/>
      <c r="N286" s="41"/>
      <c r="O286" s="22"/>
      <c r="P286" s="22"/>
    </row>
    <row r="287" spans="2:16" ht="12.75">
      <c r="B287" s="15"/>
      <c r="C287" s="16"/>
      <c r="D287" s="38"/>
      <c r="E287" s="63">
        <f t="shared" si="134"/>
        <v>272</v>
      </c>
      <c r="F287" s="108">
        <f t="shared" si="135"/>
        <v>50922</v>
      </c>
      <c r="G287" s="64">
        <f aca="true" t="shared" si="136" ref="G287:G302">IF(E287&lt;=data6*$C$12,G286,"")</f>
        <v>0.03</v>
      </c>
      <c r="H287" s="68">
        <f aca="true" t="shared" si="137" ref="H287:H302">IF(OR($C$12&lt;0.05,I287&lt;0.05,PERYR&lt;0.05),0,H286+ROUND(PPMT(G286/PERYR,1,$C$11-E286+1,H286),4))</f>
        <v>109212.93939999996</v>
      </c>
      <c r="I287" s="68">
        <f aca="true" t="shared" si="138" ref="I287:I302">IF(H286&gt;0.05,ROUND(I286+L286+M286,4),0)</f>
        <v>109212.9433</v>
      </c>
      <c r="J287" s="68">
        <f aca="true" t="shared" si="139" ref="J287:J302">IF(OR($C$12&lt;0.05,I287&lt;0.05,PERYR&lt;0.05,H287&lt;0.05),0,(ROUND(IF(J286+I287&lt;0,-I287+K287,IF($C$10=0,PMT(G287/PERYR,$C$11-E286,H287),-$C$13)),4)))</f>
        <v>-1370.2131</v>
      </c>
      <c r="K287" s="68">
        <f aca="true" t="shared" si="140" ref="K287:K302">IF(OR($C$12&lt;0.05,I287&lt;0.05,PERYR&lt;0.05,H287&lt;0.05),0,(ROUND(IPMT(G287/PERYR,1,$C$11-E286,I287),4)))</f>
        <v>-273.0324</v>
      </c>
      <c r="L287" s="68">
        <f aca="true" t="shared" si="141" ref="L287:L302">-ROUND(MIN(I287,K287-J287),4)</f>
        <v>-1097.1807</v>
      </c>
      <c r="M287" s="69"/>
      <c r="N287" s="41"/>
      <c r="O287" s="22"/>
      <c r="P287" s="22"/>
    </row>
    <row r="288" spans="2:16" ht="12.75">
      <c r="B288" s="15"/>
      <c r="C288" s="16"/>
      <c r="D288" s="38"/>
      <c r="E288" s="63">
        <f t="shared" si="134"/>
        <v>273</v>
      </c>
      <c r="F288" s="108">
        <f t="shared" si="135"/>
        <v>50952</v>
      </c>
      <c r="G288" s="64">
        <f t="shared" si="136"/>
        <v>0.03</v>
      </c>
      <c r="H288" s="68">
        <f t="shared" si="137"/>
        <v>108115.75859999996</v>
      </c>
      <c r="I288" s="68">
        <f t="shared" si="138"/>
        <v>108115.7626</v>
      </c>
      <c r="J288" s="68">
        <f t="shared" si="139"/>
        <v>-1370.2131</v>
      </c>
      <c r="K288" s="68">
        <f t="shared" si="140"/>
        <v>-270.2894</v>
      </c>
      <c r="L288" s="68">
        <f t="shared" si="141"/>
        <v>-1099.9237</v>
      </c>
      <c r="M288" s="69"/>
      <c r="N288" s="41"/>
      <c r="O288" s="22"/>
      <c r="P288" s="22"/>
    </row>
    <row r="289" spans="2:16" ht="12.75">
      <c r="B289" s="15"/>
      <c r="C289" s="16"/>
      <c r="D289" s="38"/>
      <c r="E289" s="63">
        <f aca="true" t="shared" si="142" ref="E289:E304">1+E288</f>
        <v>274</v>
      </c>
      <c r="F289" s="108">
        <f t="shared" si="135"/>
        <v>50983</v>
      </c>
      <c r="G289" s="64">
        <f t="shared" si="136"/>
        <v>0.03</v>
      </c>
      <c r="H289" s="68">
        <f t="shared" si="137"/>
        <v>107015.83489999996</v>
      </c>
      <c r="I289" s="68">
        <f t="shared" si="138"/>
        <v>107015.8389</v>
      </c>
      <c r="J289" s="68">
        <f t="shared" si="139"/>
        <v>-1370.2131</v>
      </c>
      <c r="K289" s="68">
        <f t="shared" si="140"/>
        <v>-267.5396</v>
      </c>
      <c r="L289" s="68">
        <f t="shared" si="141"/>
        <v>-1102.6735</v>
      </c>
      <c r="M289" s="69"/>
      <c r="N289" s="41"/>
      <c r="O289" s="22"/>
      <c r="P289" s="22"/>
    </row>
    <row r="290" spans="2:16" ht="12.75">
      <c r="B290" s="15"/>
      <c r="C290" s="16"/>
      <c r="D290" s="38"/>
      <c r="E290" s="63">
        <f t="shared" si="142"/>
        <v>275</v>
      </c>
      <c r="F290" s="108">
        <f t="shared" si="135"/>
        <v>51014</v>
      </c>
      <c r="G290" s="64">
        <f t="shared" si="136"/>
        <v>0.03</v>
      </c>
      <c r="H290" s="68">
        <f t="shared" si="137"/>
        <v>105913.16139999995</v>
      </c>
      <c r="I290" s="68">
        <f t="shared" si="138"/>
        <v>105913.1654</v>
      </c>
      <c r="J290" s="68">
        <f t="shared" si="139"/>
        <v>-1370.2131</v>
      </c>
      <c r="K290" s="68">
        <f t="shared" si="140"/>
        <v>-264.7829</v>
      </c>
      <c r="L290" s="68">
        <f t="shared" si="141"/>
        <v>-1105.4302</v>
      </c>
      <c r="M290" s="69"/>
      <c r="N290" s="41"/>
      <c r="O290" s="22"/>
      <c r="P290" s="22"/>
    </row>
    <row r="291" spans="2:16" ht="12.75">
      <c r="B291" s="15"/>
      <c r="C291" s="16"/>
      <c r="D291" s="38"/>
      <c r="E291" s="63">
        <f t="shared" si="142"/>
        <v>276</v>
      </c>
      <c r="F291" s="108">
        <f aca="true" t="shared" si="143" ref="F291:F306">IF(H291&gt;0.01,DATE(YEAR($F$16),MONTH($F$16)+(E291-1)*12/PERYR,DAY($F$16)),"")</f>
        <v>51044</v>
      </c>
      <c r="G291" s="64">
        <f t="shared" si="136"/>
        <v>0.03</v>
      </c>
      <c r="H291" s="68">
        <f t="shared" si="137"/>
        <v>104807.73119999995</v>
      </c>
      <c r="I291" s="68">
        <f t="shared" si="138"/>
        <v>104807.7352</v>
      </c>
      <c r="J291" s="68">
        <f t="shared" si="139"/>
        <v>-1370.2131</v>
      </c>
      <c r="K291" s="68">
        <f t="shared" si="140"/>
        <v>-262.0193</v>
      </c>
      <c r="L291" s="68">
        <f t="shared" si="141"/>
        <v>-1108.1938</v>
      </c>
      <c r="M291" s="69"/>
      <c r="N291" s="41"/>
      <c r="O291" s="22"/>
      <c r="P291" s="22"/>
    </row>
    <row r="292" spans="2:16" ht="12.75">
      <c r="B292" s="15"/>
      <c r="C292" s="16"/>
      <c r="D292" s="38"/>
      <c r="E292" s="63">
        <f t="shared" si="142"/>
        <v>277</v>
      </c>
      <c r="F292" s="108">
        <f t="shared" si="143"/>
        <v>51075</v>
      </c>
      <c r="G292" s="64">
        <f t="shared" si="136"/>
        <v>0.03</v>
      </c>
      <c r="H292" s="68">
        <f t="shared" si="137"/>
        <v>103699.53739999996</v>
      </c>
      <c r="I292" s="68">
        <f t="shared" si="138"/>
        <v>103699.5414</v>
      </c>
      <c r="J292" s="68">
        <f t="shared" si="139"/>
        <v>-1370.2131</v>
      </c>
      <c r="K292" s="68">
        <f t="shared" si="140"/>
        <v>-259.2489</v>
      </c>
      <c r="L292" s="68">
        <f t="shared" si="141"/>
        <v>-1110.9642</v>
      </c>
      <c r="M292" s="69"/>
      <c r="N292" s="41"/>
      <c r="O292" s="22"/>
      <c r="P292" s="22"/>
    </row>
    <row r="293" spans="2:16" ht="12.75">
      <c r="B293" s="15"/>
      <c r="C293" s="16"/>
      <c r="D293" s="38"/>
      <c r="E293" s="63">
        <f t="shared" si="142"/>
        <v>278</v>
      </c>
      <c r="F293" s="108">
        <f t="shared" si="143"/>
        <v>51105</v>
      </c>
      <c r="G293" s="64">
        <f t="shared" si="136"/>
        <v>0.03</v>
      </c>
      <c r="H293" s="68">
        <f t="shared" si="137"/>
        <v>102588.57309999995</v>
      </c>
      <c r="I293" s="68">
        <f t="shared" si="138"/>
        <v>102588.5772</v>
      </c>
      <c r="J293" s="68">
        <f t="shared" si="139"/>
        <v>-1370.2131</v>
      </c>
      <c r="K293" s="68">
        <f t="shared" si="140"/>
        <v>-256.4714</v>
      </c>
      <c r="L293" s="68">
        <f t="shared" si="141"/>
        <v>-1113.7417</v>
      </c>
      <c r="M293" s="69"/>
      <c r="N293" s="41"/>
      <c r="O293" s="22"/>
      <c r="P293" s="22"/>
    </row>
    <row r="294" spans="2:16" ht="12.75">
      <c r="B294" s="15"/>
      <c r="C294" s="16"/>
      <c r="D294" s="38"/>
      <c r="E294" s="63">
        <f t="shared" si="142"/>
        <v>279</v>
      </c>
      <c r="F294" s="108">
        <f t="shared" si="143"/>
        <v>51136</v>
      </c>
      <c r="G294" s="64">
        <f t="shared" si="136"/>
        <v>0.03</v>
      </c>
      <c r="H294" s="68">
        <f t="shared" si="137"/>
        <v>101474.83139999995</v>
      </c>
      <c r="I294" s="68">
        <f t="shared" si="138"/>
        <v>101474.8355</v>
      </c>
      <c r="J294" s="68">
        <f t="shared" si="139"/>
        <v>-1370.2131</v>
      </c>
      <c r="K294" s="68">
        <f t="shared" si="140"/>
        <v>-253.6871</v>
      </c>
      <c r="L294" s="68">
        <f t="shared" si="141"/>
        <v>-1116.526</v>
      </c>
      <c r="M294" s="69"/>
      <c r="N294" s="41"/>
      <c r="O294" s="22"/>
      <c r="P294" s="22"/>
    </row>
    <row r="295" spans="2:16" ht="12.75">
      <c r="B295" s="15"/>
      <c r="C295" s="16"/>
      <c r="D295" s="38"/>
      <c r="E295" s="63">
        <f t="shared" si="142"/>
        <v>280</v>
      </c>
      <c r="F295" s="108">
        <f t="shared" si="143"/>
        <v>51167</v>
      </c>
      <c r="G295" s="64">
        <f t="shared" si="136"/>
        <v>0.03</v>
      </c>
      <c r="H295" s="68">
        <f t="shared" si="137"/>
        <v>100358.30539999995</v>
      </c>
      <c r="I295" s="68">
        <f t="shared" si="138"/>
        <v>100358.3095</v>
      </c>
      <c r="J295" s="68">
        <f t="shared" si="139"/>
        <v>-1370.2131</v>
      </c>
      <c r="K295" s="68">
        <f t="shared" si="140"/>
        <v>-250.8958</v>
      </c>
      <c r="L295" s="68">
        <f t="shared" si="141"/>
        <v>-1119.3173</v>
      </c>
      <c r="M295" s="69"/>
      <c r="N295" s="41"/>
      <c r="O295" s="22"/>
      <c r="P295" s="22"/>
    </row>
    <row r="296" spans="2:16" ht="12.75">
      <c r="B296" s="15"/>
      <c r="C296" s="16"/>
      <c r="D296" s="38"/>
      <c r="E296" s="63">
        <f t="shared" si="142"/>
        <v>281</v>
      </c>
      <c r="F296" s="108">
        <f t="shared" si="143"/>
        <v>51196</v>
      </c>
      <c r="G296" s="64">
        <f t="shared" si="136"/>
        <v>0.03</v>
      </c>
      <c r="H296" s="68">
        <f t="shared" si="137"/>
        <v>99238.98809999996</v>
      </c>
      <c r="I296" s="68">
        <f t="shared" si="138"/>
        <v>99238.9922</v>
      </c>
      <c r="J296" s="68">
        <f t="shared" si="139"/>
        <v>-1370.2131</v>
      </c>
      <c r="K296" s="68">
        <f t="shared" si="140"/>
        <v>-248.0975</v>
      </c>
      <c r="L296" s="68">
        <f t="shared" si="141"/>
        <v>-1122.1156</v>
      </c>
      <c r="M296" s="69"/>
      <c r="N296" s="41"/>
      <c r="O296" s="22"/>
      <c r="P296" s="22"/>
    </row>
    <row r="297" spans="2:16" ht="12.75">
      <c r="B297" s="15"/>
      <c r="C297" s="16"/>
      <c r="D297" s="38"/>
      <c r="E297" s="63">
        <f t="shared" si="142"/>
        <v>282</v>
      </c>
      <c r="F297" s="108">
        <f t="shared" si="143"/>
        <v>51227</v>
      </c>
      <c r="G297" s="64">
        <f t="shared" si="136"/>
        <v>0.03</v>
      </c>
      <c r="H297" s="68">
        <f t="shared" si="137"/>
        <v>98116.87249999995</v>
      </c>
      <c r="I297" s="68">
        <f t="shared" si="138"/>
        <v>98116.8766</v>
      </c>
      <c r="J297" s="68">
        <f t="shared" si="139"/>
        <v>-1370.2131</v>
      </c>
      <c r="K297" s="68">
        <f t="shared" si="140"/>
        <v>-245.2922</v>
      </c>
      <c r="L297" s="68">
        <f t="shared" si="141"/>
        <v>-1124.9209</v>
      </c>
      <c r="M297" s="69"/>
      <c r="N297" s="41"/>
      <c r="O297" s="22"/>
      <c r="P297" s="22"/>
    </row>
    <row r="298" spans="2:16" ht="12.75">
      <c r="B298" s="15"/>
      <c r="C298" s="16"/>
      <c r="D298" s="38"/>
      <c r="E298" s="63">
        <f t="shared" si="142"/>
        <v>283</v>
      </c>
      <c r="F298" s="108">
        <f t="shared" si="143"/>
        <v>51257</v>
      </c>
      <c r="G298" s="64">
        <f t="shared" si="136"/>
        <v>0.03</v>
      </c>
      <c r="H298" s="68">
        <f t="shared" si="137"/>
        <v>96991.95159999996</v>
      </c>
      <c r="I298" s="68">
        <f t="shared" si="138"/>
        <v>96991.9557</v>
      </c>
      <c r="J298" s="68">
        <f t="shared" si="139"/>
        <v>-1370.2131</v>
      </c>
      <c r="K298" s="68">
        <f t="shared" si="140"/>
        <v>-242.4799</v>
      </c>
      <c r="L298" s="68">
        <f t="shared" si="141"/>
        <v>-1127.7332</v>
      </c>
      <c r="M298" s="69"/>
      <c r="N298" s="41"/>
      <c r="O298" s="22"/>
      <c r="P298" s="22"/>
    </row>
    <row r="299" spans="2:16" ht="12.75">
      <c r="B299" s="15"/>
      <c r="C299" s="16"/>
      <c r="D299" s="38"/>
      <c r="E299" s="63">
        <f t="shared" si="142"/>
        <v>284</v>
      </c>
      <c r="F299" s="108">
        <f t="shared" si="143"/>
        <v>51288</v>
      </c>
      <c r="G299" s="64">
        <f t="shared" si="136"/>
        <v>0.03</v>
      </c>
      <c r="H299" s="68">
        <f t="shared" si="137"/>
        <v>95864.21839999995</v>
      </c>
      <c r="I299" s="68">
        <f t="shared" si="138"/>
        <v>95864.2225</v>
      </c>
      <c r="J299" s="68">
        <f t="shared" si="139"/>
        <v>-1370.2131</v>
      </c>
      <c r="K299" s="68">
        <f t="shared" si="140"/>
        <v>-239.6606</v>
      </c>
      <c r="L299" s="68">
        <f t="shared" si="141"/>
        <v>-1130.5525</v>
      </c>
      <c r="M299" s="69"/>
      <c r="N299" s="41"/>
      <c r="O299" s="22"/>
      <c r="P299" s="22"/>
    </row>
    <row r="300" spans="2:16" ht="12.75">
      <c r="B300" s="15"/>
      <c r="C300" s="16"/>
      <c r="D300" s="38"/>
      <c r="E300" s="63">
        <f t="shared" si="142"/>
        <v>285</v>
      </c>
      <c r="F300" s="108">
        <f t="shared" si="143"/>
        <v>51318</v>
      </c>
      <c r="G300" s="64">
        <f t="shared" si="136"/>
        <v>0.03</v>
      </c>
      <c r="H300" s="68">
        <f t="shared" si="137"/>
        <v>94733.66579999996</v>
      </c>
      <c r="I300" s="68">
        <f t="shared" si="138"/>
        <v>94733.67</v>
      </c>
      <c r="J300" s="68">
        <f t="shared" si="139"/>
        <v>-1370.2131</v>
      </c>
      <c r="K300" s="68">
        <f t="shared" si="140"/>
        <v>-236.8342</v>
      </c>
      <c r="L300" s="68">
        <f t="shared" si="141"/>
        <v>-1133.3789</v>
      </c>
      <c r="M300" s="69"/>
      <c r="N300" s="41"/>
      <c r="O300" s="22"/>
      <c r="P300" s="22"/>
    </row>
    <row r="301" spans="2:16" ht="12.75">
      <c r="B301" s="15"/>
      <c r="C301" s="16"/>
      <c r="D301" s="38"/>
      <c r="E301" s="63">
        <f t="shared" si="142"/>
        <v>286</v>
      </c>
      <c r="F301" s="108">
        <f t="shared" si="143"/>
        <v>51349</v>
      </c>
      <c r="G301" s="64">
        <f t="shared" si="136"/>
        <v>0.03</v>
      </c>
      <c r="H301" s="68">
        <f t="shared" si="137"/>
        <v>93600.28689999996</v>
      </c>
      <c r="I301" s="68">
        <f t="shared" si="138"/>
        <v>93600.2911</v>
      </c>
      <c r="J301" s="68">
        <f t="shared" si="139"/>
        <v>-1370.2131</v>
      </c>
      <c r="K301" s="68">
        <f t="shared" si="140"/>
        <v>-234.0007</v>
      </c>
      <c r="L301" s="68">
        <f t="shared" si="141"/>
        <v>-1136.2124</v>
      </c>
      <c r="M301" s="69"/>
      <c r="N301" s="41"/>
      <c r="O301" s="22"/>
      <c r="P301" s="22"/>
    </row>
    <row r="302" spans="2:16" ht="12.75">
      <c r="B302" s="15"/>
      <c r="C302" s="16"/>
      <c r="D302" s="38"/>
      <c r="E302" s="63">
        <f t="shared" si="142"/>
        <v>287</v>
      </c>
      <c r="F302" s="108">
        <f t="shared" si="143"/>
        <v>51380</v>
      </c>
      <c r="G302" s="64">
        <f t="shared" si="136"/>
        <v>0.03</v>
      </c>
      <c r="H302" s="68">
        <f t="shared" si="137"/>
        <v>92464.07449999996</v>
      </c>
      <c r="I302" s="68">
        <f t="shared" si="138"/>
        <v>92464.0787</v>
      </c>
      <c r="J302" s="68">
        <f t="shared" si="139"/>
        <v>-1370.2131</v>
      </c>
      <c r="K302" s="68">
        <f t="shared" si="140"/>
        <v>-231.1602</v>
      </c>
      <c r="L302" s="68">
        <f t="shared" si="141"/>
        <v>-1139.0529</v>
      </c>
      <c r="M302" s="69"/>
      <c r="N302" s="41"/>
      <c r="O302" s="22"/>
      <c r="P302" s="22"/>
    </row>
    <row r="303" spans="2:16" ht="12.75">
      <c r="B303" s="15"/>
      <c r="C303" s="16"/>
      <c r="D303" s="38"/>
      <c r="E303" s="63">
        <f t="shared" si="142"/>
        <v>288</v>
      </c>
      <c r="F303" s="108">
        <f t="shared" si="143"/>
        <v>51410</v>
      </c>
      <c r="G303" s="64">
        <f aca="true" t="shared" si="144" ref="G303:G318">IF(E303&lt;=data6*$C$12,G302,"")</f>
        <v>0.03</v>
      </c>
      <c r="H303" s="68">
        <f aca="true" t="shared" si="145" ref="H303:H318">IF(OR($C$12&lt;0.05,I303&lt;0.05,PERYR&lt;0.05),0,H302+ROUND(PPMT(G302/PERYR,1,$C$11-E302+1,H302),4))</f>
        <v>91325.02159999996</v>
      </c>
      <c r="I303" s="68">
        <f aca="true" t="shared" si="146" ref="I303:I318">IF(H302&gt;0.05,ROUND(I302+L302+M302,4),0)</f>
        <v>91325.0258</v>
      </c>
      <c r="J303" s="68">
        <f aca="true" t="shared" si="147" ref="J303:J318">IF(OR($C$12&lt;0.05,I303&lt;0.05,PERYR&lt;0.05,H303&lt;0.05),0,(ROUND(IF(J302+I303&lt;0,-I303+K303,IF($C$10=0,PMT(G303/PERYR,$C$11-E302,H303),-$C$13)),4)))</f>
        <v>-1370.2131</v>
      </c>
      <c r="K303" s="68">
        <f aca="true" t="shared" si="148" ref="K303:K318">IF(OR($C$12&lt;0.05,I303&lt;0.05,PERYR&lt;0.05,H303&lt;0.05),0,(ROUND(IPMT(G303/PERYR,1,$C$11-E302,I303),4)))</f>
        <v>-228.3126</v>
      </c>
      <c r="L303" s="68">
        <f aca="true" t="shared" si="149" ref="L303:L318">-ROUND(MIN(I303,K303-J303),4)</f>
        <v>-1141.9005</v>
      </c>
      <c r="M303" s="69"/>
      <c r="N303" s="41"/>
      <c r="O303" s="22"/>
      <c r="P303" s="22"/>
    </row>
    <row r="304" spans="2:16" ht="12.75">
      <c r="B304" s="15"/>
      <c r="C304" s="16"/>
      <c r="D304" s="38"/>
      <c r="E304" s="63">
        <f t="shared" si="142"/>
        <v>289</v>
      </c>
      <c r="F304" s="108">
        <f t="shared" si="143"/>
        <v>51441</v>
      </c>
      <c r="G304" s="64">
        <f t="shared" si="144"/>
        <v>0.03</v>
      </c>
      <c r="H304" s="68">
        <f t="shared" si="145"/>
        <v>90183.12099999997</v>
      </c>
      <c r="I304" s="68">
        <f t="shared" si="146"/>
        <v>90183.1253</v>
      </c>
      <c r="J304" s="68">
        <f t="shared" si="147"/>
        <v>-1370.2131</v>
      </c>
      <c r="K304" s="68">
        <f t="shared" si="148"/>
        <v>-225.4578</v>
      </c>
      <c r="L304" s="68">
        <f t="shared" si="149"/>
        <v>-1144.7553</v>
      </c>
      <c r="M304" s="69"/>
      <c r="N304" s="41"/>
      <c r="O304" s="22"/>
      <c r="P304" s="22"/>
    </row>
    <row r="305" spans="2:16" ht="12.75">
      <c r="B305" s="15"/>
      <c r="C305" s="16"/>
      <c r="D305" s="38"/>
      <c r="E305" s="63">
        <f aca="true" t="shared" si="150" ref="E305:E320">1+E304</f>
        <v>290</v>
      </c>
      <c r="F305" s="108">
        <f t="shared" si="143"/>
        <v>51471</v>
      </c>
      <c r="G305" s="64">
        <f t="shared" si="144"/>
        <v>0.03</v>
      </c>
      <c r="H305" s="68">
        <f t="shared" si="145"/>
        <v>89038.36569999997</v>
      </c>
      <c r="I305" s="68">
        <f t="shared" si="146"/>
        <v>89038.37</v>
      </c>
      <c r="J305" s="68">
        <f t="shared" si="147"/>
        <v>-1370.2131</v>
      </c>
      <c r="K305" s="68">
        <f t="shared" si="148"/>
        <v>-222.5959</v>
      </c>
      <c r="L305" s="68">
        <f t="shared" si="149"/>
        <v>-1147.6172</v>
      </c>
      <c r="M305" s="69"/>
      <c r="N305" s="41"/>
      <c r="O305" s="22"/>
      <c r="P305" s="22"/>
    </row>
    <row r="306" spans="2:16" ht="12.75">
      <c r="B306" s="15"/>
      <c r="C306" s="16"/>
      <c r="D306" s="38"/>
      <c r="E306" s="63">
        <f t="shared" si="150"/>
        <v>291</v>
      </c>
      <c r="F306" s="108">
        <f t="shared" si="143"/>
        <v>51502</v>
      </c>
      <c r="G306" s="64">
        <f t="shared" si="144"/>
        <v>0.03</v>
      </c>
      <c r="H306" s="68">
        <f t="shared" si="145"/>
        <v>87890.74849999997</v>
      </c>
      <c r="I306" s="68">
        <f t="shared" si="146"/>
        <v>87890.7528</v>
      </c>
      <c r="J306" s="68">
        <f t="shared" si="147"/>
        <v>-1370.2131</v>
      </c>
      <c r="K306" s="68">
        <f t="shared" si="148"/>
        <v>-219.7269</v>
      </c>
      <c r="L306" s="68">
        <f t="shared" si="149"/>
        <v>-1150.4862</v>
      </c>
      <c r="M306" s="69"/>
      <c r="N306" s="41"/>
      <c r="O306" s="22"/>
      <c r="P306" s="22"/>
    </row>
    <row r="307" spans="2:16" ht="12.75">
      <c r="B307" s="15"/>
      <c r="C307" s="16"/>
      <c r="D307" s="38"/>
      <c r="E307" s="63">
        <f t="shared" si="150"/>
        <v>292</v>
      </c>
      <c r="F307" s="108">
        <f aca="true" t="shared" si="151" ref="F307:F322">IF(H307&gt;0.01,DATE(YEAR($F$16),MONTH($F$16)+(E307-1)*12/PERYR,DAY($F$16)),"")</f>
        <v>51533</v>
      </c>
      <c r="G307" s="64">
        <f t="shared" si="144"/>
        <v>0.03</v>
      </c>
      <c r="H307" s="68">
        <f t="shared" si="145"/>
        <v>86740.26229999997</v>
      </c>
      <c r="I307" s="68">
        <f t="shared" si="146"/>
        <v>86740.2666</v>
      </c>
      <c r="J307" s="68">
        <f t="shared" si="147"/>
        <v>-1370.2131</v>
      </c>
      <c r="K307" s="68">
        <f t="shared" si="148"/>
        <v>-216.8507</v>
      </c>
      <c r="L307" s="68">
        <f t="shared" si="149"/>
        <v>-1153.3624</v>
      </c>
      <c r="M307" s="69"/>
      <c r="N307" s="41"/>
      <c r="O307" s="22"/>
      <c r="P307" s="22"/>
    </row>
    <row r="308" spans="2:16" ht="12.75">
      <c r="B308" s="15"/>
      <c r="C308" s="16"/>
      <c r="D308" s="38"/>
      <c r="E308" s="63">
        <f t="shared" si="150"/>
        <v>293</v>
      </c>
      <c r="F308" s="108">
        <f t="shared" si="151"/>
        <v>51561</v>
      </c>
      <c r="G308" s="64">
        <f t="shared" si="144"/>
        <v>0.03</v>
      </c>
      <c r="H308" s="68">
        <f t="shared" si="145"/>
        <v>85586.89989999997</v>
      </c>
      <c r="I308" s="68">
        <f t="shared" si="146"/>
        <v>85586.9042</v>
      </c>
      <c r="J308" s="68">
        <f t="shared" si="147"/>
        <v>-1370.2131</v>
      </c>
      <c r="K308" s="68">
        <f t="shared" si="148"/>
        <v>-213.9673</v>
      </c>
      <c r="L308" s="68">
        <f t="shared" si="149"/>
        <v>-1156.2458</v>
      </c>
      <c r="M308" s="69"/>
      <c r="N308" s="41"/>
      <c r="O308" s="22"/>
      <c r="P308" s="22"/>
    </row>
    <row r="309" spans="2:16" ht="12.75">
      <c r="B309" s="15"/>
      <c r="C309" s="16"/>
      <c r="D309" s="38"/>
      <c r="E309" s="63">
        <f t="shared" si="150"/>
        <v>294</v>
      </c>
      <c r="F309" s="108">
        <f t="shared" si="151"/>
        <v>51592</v>
      </c>
      <c r="G309" s="64">
        <f t="shared" si="144"/>
        <v>0.03</v>
      </c>
      <c r="H309" s="68">
        <f t="shared" si="145"/>
        <v>84430.65399999998</v>
      </c>
      <c r="I309" s="68">
        <f t="shared" si="146"/>
        <v>84430.6584</v>
      </c>
      <c r="J309" s="68">
        <f t="shared" si="147"/>
        <v>-1370.2131</v>
      </c>
      <c r="K309" s="68">
        <f t="shared" si="148"/>
        <v>-211.0766</v>
      </c>
      <c r="L309" s="68">
        <f t="shared" si="149"/>
        <v>-1159.1365</v>
      </c>
      <c r="M309" s="69"/>
      <c r="N309" s="41"/>
      <c r="O309" s="22"/>
      <c r="P309" s="22"/>
    </row>
    <row r="310" spans="2:16" ht="12.75">
      <c r="B310" s="15"/>
      <c r="C310" s="16"/>
      <c r="D310" s="38"/>
      <c r="E310" s="63">
        <f t="shared" si="150"/>
        <v>295</v>
      </c>
      <c r="F310" s="108">
        <f t="shared" si="151"/>
        <v>51622</v>
      </c>
      <c r="G310" s="64">
        <f t="shared" si="144"/>
        <v>0.03</v>
      </c>
      <c r="H310" s="68">
        <f t="shared" si="145"/>
        <v>83271.51749999999</v>
      </c>
      <c r="I310" s="68">
        <f t="shared" si="146"/>
        <v>83271.5219</v>
      </c>
      <c r="J310" s="68">
        <f t="shared" si="147"/>
        <v>-1370.2131</v>
      </c>
      <c r="K310" s="68">
        <f t="shared" si="148"/>
        <v>-208.1788</v>
      </c>
      <c r="L310" s="68">
        <f t="shared" si="149"/>
        <v>-1162.0343</v>
      </c>
      <c r="M310" s="69"/>
      <c r="N310" s="41"/>
      <c r="O310" s="22"/>
      <c r="P310" s="22"/>
    </row>
    <row r="311" spans="2:16" ht="12.75">
      <c r="B311" s="15"/>
      <c r="C311" s="16"/>
      <c r="D311" s="38"/>
      <c r="E311" s="63">
        <f t="shared" si="150"/>
        <v>296</v>
      </c>
      <c r="F311" s="108">
        <f t="shared" si="151"/>
        <v>51653</v>
      </c>
      <c r="G311" s="64">
        <f t="shared" si="144"/>
        <v>0.03</v>
      </c>
      <c r="H311" s="68">
        <f t="shared" si="145"/>
        <v>82109.48319999999</v>
      </c>
      <c r="I311" s="68">
        <f t="shared" si="146"/>
        <v>82109.4876</v>
      </c>
      <c r="J311" s="68">
        <f t="shared" si="147"/>
        <v>-1370.2131</v>
      </c>
      <c r="K311" s="68">
        <f t="shared" si="148"/>
        <v>-205.2737</v>
      </c>
      <c r="L311" s="68">
        <f t="shared" si="149"/>
        <v>-1164.9394</v>
      </c>
      <c r="M311" s="69"/>
      <c r="N311" s="41"/>
      <c r="O311" s="22"/>
      <c r="P311" s="22"/>
    </row>
    <row r="312" spans="2:16" ht="12.75">
      <c r="B312" s="15"/>
      <c r="C312" s="16"/>
      <c r="D312" s="38"/>
      <c r="E312" s="63">
        <f t="shared" si="150"/>
        <v>297</v>
      </c>
      <c r="F312" s="108">
        <f t="shared" si="151"/>
        <v>51683</v>
      </c>
      <c r="G312" s="64">
        <f t="shared" si="144"/>
        <v>0.03</v>
      </c>
      <c r="H312" s="68">
        <f t="shared" si="145"/>
        <v>80944.54379999998</v>
      </c>
      <c r="I312" s="68">
        <f t="shared" si="146"/>
        <v>80944.5482</v>
      </c>
      <c r="J312" s="68">
        <f t="shared" si="147"/>
        <v>-1370.2131</v>
      </c>
      <c r="K312" s="68">
        <f t="shared" si="148"/>
        <v>-202.3614</v>
      </c>
      <c r="L312" s="68">
        <f t="shared" si="149"/>
        <v>-1167.8517</v>
      </c>
      <c r="M312" s="69"/>
      <c r="N312" s="41"/>
      <c r="O312" s="22"/>
      <c r="P312" s="22"/>
    </row>
    <row r="313" spans="2:16" ht="12.75">
      <c r="B313" s="15"/>
      <c r="C313" s="16"/>
      <c r="D313" s="38"/>
      <c r="E313" s="63">
        <f t="shared" si="150"/>
        <v>298</v>
      </c>
      <c r="F313" s="108">
        <f t="shared" si="151"/>
        <v>51714</v>
      </c>
      <c r="G313" s="64">
        <f t="shared" si="144"/>
        <v>0.03</v>
      </c>
      <c r="H313" s="68">
        <f t="shared" si="145"/>
        <v>79776.69209999999</v>
      </c>
      <c r="I313" s="68">
        <f t="shared" si="146"/>
        <v>79776.6965</v>
      </c>
      <c r="J313" s="68">
        <f t="shared" si="147"/>
        <v>-1370.2131</v>
      </c>
      <c r="K313" s="68">
        <f t="shared" si="148"/>
        <v>-199.4417</v>
      </c>
      <c r="L313" s="68">
        <f t="shared" si="149"/>
        <v>-1170.7714</v>
      </c>
      <c r="M313" s="69"/>
      <c r="N313" s="41"/>
      <c r="O313" s="22"/>
      <c r="P313" s="22"/>
    </row>
    <row r="314" spans="2:16" ht="12.75">
      <c r="B314" s="15"/>
      <c r="C314" s="16"/>
      <c r="D314" s="38"/>
      <c r="E314" s="63">
        <f t="shared" si="150"/>
        <v>299</v>
      </c>
      <c r="F314" s="108">
        <f t="shared" si="151"/>
        <v>51745</v>
      </c>
      <c r="G314" s="64">
        <f t="shared" si="144"/>
        <v>0.03</v>
      </c>
      <c r="H314" s="68">
        <f t="shared" si="145"/>
        <v>78605.92069999999</v>
      </c>
      <c r="I314" s="68">
        <f t="shared" si="146"/>
        <v>78605.9251</v>
      </c>
      <c r="J314" s="68">
        <f t="shared" si="147"/>
        <v>-1370.2131</v>
      </c>
      <c r="K314" s="68">
        <f t="shared" si="148"/>
        <v>-196.5148</v>
      </c>
      <c r="L314" s="68">
        <f t="shared" si="149"/>
        <v>-1173.6983</v>
      </c>
      <c r="M314" s="69"/>
      <c r="N314" s="41"/>
      <c r="O314" s="22"/>
      <c r="P314" s="22"/>
    </row>
    <row r="315" spans="2:16" ht="12.75">
      <c r="B315" s="15"/>
      <c r="C315" s="16"/>
      <c r="D315" s="38"/>
      <c r="E315" s="63">
        <f t="shared" si="150"/>
        <v>300</v>
      </c>
      <c r="F315" s="108">
        <f t="shared" si="151"/>
        <v>51775</v>
      </c>
      <c r="G315" s="64">
        <f t="shared" si="144"/>
        <v>0.03</v>
      </c>
      <c r="H315" s="68">
        <f t="shared" si="145"/>
        <v>77432.22239999998</v>
      </c>
      <c r="I315" s="68">
        <f t="shared" si="146"/>
        <v>77432.2268</v>
      </c>
      <c r="J315" s="68">
        <f t="shared" si="147"/>
        <v>-1370.2131</v>
      </c>
      <c r="K315" s="68">
        <f t="shared" si="148"/>
        <v>-193.5806</v>
      </c>
      <c r="L315" s="68">
        <f t="shared" si="149"/>
        <v>-1176.6325</v>
      </c>
      <c r="M315" s="69"/>
      <c r="N315" s="41"/>
      <c r="O315" s="22"/>
      <c r="P315" s="22"/>
    </row>
    <row r="316" spans="2:16" ht="12.75">
      <c r="B316" s="15"/>
      <c r="C316" s="16"/>
      <c r="D316" s="38"/>
      <c r="E316" s="63">
        <f t="shared" si="150"/>
        <v>301</v>
      </c>
      <c r="F316" s="108">
        <f t="shared" si="151"/>
        <v>51806</v>
      </c>
      <c r="G316" s="64">
        <f t="shared" si="144"/>
        <v>0.03</v>
      </c>
      <c r="H316" s="68">
        <f t="shared" si="145"/>
        <v>76255.58989999998</v>
      </c>
      <c r="I316" s="68">
        <f t="shared" si="146"/>
        <v>76255.5943</v>
      </c>
      <c r="J316" s="68">
        <f t="shared" si="147"/>
        <v>-1370.2131</v>
      </c>
      <c r="K316" s="68">
        <f t="shared" si="148"/>
        <v>-190.639</v>
      </c>
      <c r="L316" s="68">
        <f t="shared" si="149"/>
        <v>-1179.5741</v>
      </c>
      <c r="M316" s="69"/>
      <c r="N316" s="41"/>
      <c r="O316" s="22"/>
      <c r="P316" s="22"/>
    </row>
    <row r="317" spans="2:16" ht="12.75">
      <c r="B317" s="15"/>
      <c r="C317" s="16"/>
      <c r="D317" s="38"/>
      <c r="E317" s="63">
        <f t="shared" si="150"/>
        <v>302</v>
      </c>
      <c r="F317" s="108">
        <f t="shared" si="151"/>
        <v>51836</v>
      </c>
      <c r="G317" s="64">
        <f t="shared" si="144"/>
        <v>0.03</v>
      </c>
      <c r="H317" s="68">
        <f t="shared" si="145"/>
        <v>75076.01579999998</v>
      </c>
      <c r="I317" s="68">
        <f t="shared" si="146"/>
        <v>75076.0202</v>
      </c>
      <c r="J317" s="68">
        <f t="shared" si="147"/>
        <v>-1370.2131</v>
      </c>
      <c r="K317" s="68">
        <f t="shared" si="148"/>
        <v>-187.6901</v>
      </c>
      <c r="L317" s="68">
        <f t="shared" si="149"/>
        <v>-1182.523</v>
      </c>
      <c r="M317" s="69"/>
      <c r="N317" s="41"/>
      <c r="O317" s="22"/>
      <c r="P317" s="22"/>
    </row>
    <row r="318" spans="2:16" ht="12.75">
      <c r="B318" s="15"/>
      <c r="C318" s="16"/>
      <c r="D318" s="38"/>
      <c r="E318" s="63">
        <f t="shared" si="150"/>
        <v>303</v>
      </c>
      <c r="F318" s="108">
        <f t="shared" si="151"/>
        <v>51867</v>
      </c>
      <c r="G318" s="64">
        <f t="shared" si="144"/>
        <v>0.03</v>
      </c>
      <c r="H318" s="68">
        <f t="shared" si="145"/>
        <v>73893.49269999997</v>
      </c>
      <c r="I318" s="68">
        <f t="shared" si="146"/>
        <v>73893.4972</v>
      </c>
      <c r="J318" s="68">
        <f t="shared" si="147"/>
        <v>-1370.2131</v>
      </c>
      <c r="K318" s="68">
        <f t="shared" si="148"/>
        <v>-184.7337</v>
      </c>
      <c r="L318" s="68">
        <f t="shared" si="149"/>
        <v>-1185.4794</v>
      </c>
      <c r="M318" s="69"/>
      <c r="N318" s="41"/>
      <c r="O318" s="22"/>
      <c r="P318" s="22"/>
    </row>
    <row r="319" spans="2:16" ht="12.75">
      <c r="B319" s="15"/>
      <c r="C319" s="16"/>
      <c r="D319" s="38"/>
      <c r="E319" s="63">
        <f t="shared" si="150"/>
        <v>304</v>
      </c>
      <c r="F319" s="108">
        <f t="shared" si="151"/>
        <v>51898</v>
      </c>
      <c r="G319" s="64">
        <f aca="true" t="shared" si="152" ref="G319:G334">IF(E319&lt;=data6*$C$12,G318,"")</f>
        <v>0.03</v>
      </c>
      <c r="H319" s="68">
        <f aca="true" t="shared" si="153" ref="H319:H334">IF(OR($C$12&lt;0.05,I319&lt;0.05,PERYR&lt;0.05),0,H318+ROUND(PPMT(G318/PERYR,1,$C$11-E318+1,H318),4))</f>
        <v>72708.01329999998</v>
      </c>
      <c r="I319" s="68">
        <f aca="true" t="shared" si="154" ref="I319:I334">IF(H318&gt;0.05,ROUND(I318+L318+M318,4),0)</f>
        <v>72708.0178</v>
      </c>
      <c r="J319" s="68">
        <f aca="true" t="shared" si="155" ref="J319:J334">IF(OR($C$12&lt;0.05,I319&lt;0.05,PERYR&lt;0.05,H319&lt;0.05),0,(ROUND(IF(J318+I319&lt;0,-I319+K319,IF($C$10=0,PMT(G319/PERYR,$C$11-E318,H319),-$C$13)),4)))</f>
        <v>-1370.2131</v>
      </c>
      <c r="K319" s="68">
        <f aca="true" t="shared" si="156" ref="K319:K334">IF(OR($C$12&lt;0.05,I319&lt;0.05,PERYR&lt;0.05,H319&lt;0.05),0,(ROUND(IPMT(G319/PERYR,1,$C$11-E318,I319),4)))</f>
        <v>-181.77</v>
      </c>
      <c r="L319" s="68">
        <f aca="true" t="shared" si="157" ref="L319:L334">-ROUND(MIN(I319,K319-J319),4)</f>
        <v>-1188.4431</v>
      </c>
      <c r="M319" s="69"/>
      <c r="N319" s="41"/>
      <c r="O319" s="22"/>
      <c r="P319" s="22"/>
    </row>
    <row r="320" spans="2:16" ht="12.75">
      <c r="B320" s="15"/>
      <c r="C320" s="16"/>
      <c r="D320" s="38"/>
      <c r="E320" s="63">
        <f t="shared" si="150"/>
        <v>305</v>
      </c>
      <c r="F320" s="108">
        <f t="shared" si="151"/>
        <v>51926</v>
      </c>
      <c r="G320" s="64">
        <f t="shared" si="152"/>
        <v>0.03</v>
      </c>
      <c r="H320" s="68">
        <f t="shared" si="153"/>
        <v>71519.57019999997</v>
      </c>
      <c r="I320" s="68">
        <f t="shared" si="154"/>
        <v>71519.5747</v>
      </c>
      <c r="J320" s="68">
        <f t="shared" si="155"/>
        <v>-1370.2131</v>
      </c>
      <c r="K320" s="68">
        <f t="shared" si="156"/>
        <v>-178.7989</v>
      </c>
      <c r="L320" s="68">
        <f t="shared" si="157"/>
        <v>-1191.4142</v>
      </c>
      <c r="M320" s="69"/>
      <c r="N320" s="41"/>
      <c r="O320" s="22"/>
      <c r="P320" s="22"/>
    </row>
    <row r="321" spans="2:16" ht="12.75">
      <c r="B321" s="15"/>
      <c r="C321" s="16"/>
      <c r="D321" s="38"/>
      <c r="E321" s="63">
        <f aca="true" t="shared" si="158" ref="E321:E336">1+E320</f>
        <v>306</v>
      </c>
      <c r="F321" s="108">
        <f t="shared" si="151"/>
        <v>51957</v>
      </c>
      <c r="G321" s="64">
        <f t="shared" si="152"/>
        <v>0.03</v>
      </c>
      <c r="H321" s="68">
        <f t="shared" si="153"/>
        <v>70328.15599999997</v>
      </c>
      <c r="I321" s="68">
        <f t="shared" si="154"/>
        <v>70328.1605</v>
      </c>
      <c r="J321" s="68">
        <f t="shared" si="155"/>
        <v>-1370.2131</v>
      </c>
      <c r="K321" s="68">
        <f t="shared" si="156"/>
        <v>-175.8204</v>
      </c>
      <c r="L321" s="68">
        <f t="shared" si="157"/>
        <v>-1194.3927</v>
      </c>
      <c r="M321" s="69"/>
      <c r="N321" s="41"/>
      <c r="O321" s="22"/>
      <c r="P321" s="22"/>
    </row>
    <row r="322" spans="2:16" ht="12.75">
      <c r="B322" s="15"/>
      <c r="C322" s="16"/>
      <c r="D322" s="38"/>
      <c r="E322" s="63">
        <f t="shared" si="158"/>
        <v>307</v>
      </c>
      <c r="F322" s="108">
        <f t="shared" si="151"/>
        <v>51987</v>
      </c>
      <c r="G322" s="64">
        <f t="shared" si="152"/>
        <v>0.03</v>
      </c>
      <c r="H322" s="68">
        <f t="shared" si="153"/>
        <v>69133.76329999998</v>
      </c>
      <c r="I322" s="68">
        <f t="shared" si="154"/>
        <v>69133.7678</v>
      </c>
      <c r="J322" s="68">
        <f t="shared" si="155"/>
        <v>-1370.2131</v>
      </c>
      <c r="K322" s="68">
        <f t="shared" si="156"/>
        <v>-172.8344</v>
      </c>
      <c r="L322" s="68">
        <f t="shared" si="157"/>
        <v>-1197.3787</v>
      </c>
      <c r="M322" s="69"/>
      <c r="N322" s="41"/>
      <c r="O322" s="22"/>
      <c r="P322" s="22"/>
    </row>
    <row r="323" spans="2:16" ht="12.75">
      <c r="B323" s="15"/>
      <c r="C323" s="16"/>
      <c r="D323" s="38"/>
      <c r="E323" s="63">
        <f t="shared" si="158"/>
        <v>308</v>
      </c>
      <c r="F323" s="108">
        <f aca="true" t="shared" si="159" ref="F323:F338">IF(H323&gt;0.01,DATE(YEAR($F$16),MONTH($F$16)+(E323-1)*12/PERYR,DAY($F$16)),"")</f>
        <v>52018</v>
      </c>
      <c r="G323" s="64">
        <f t="shared" si="152"/>
        <v>0.03</v>
      </c>
      <c r="H323" s="68">
        <f t="shared" si="153"/>
        <v>67936.38459999998</v>
      </c>
      <c r="I323" s="68">
        <f t="shared" si="154"/>
        <v>67936.3891</v>
      </c>
      <c r="J323" s="68">
        <f t="shared" si="155"/>
        <v>-1370.2131</v>
      </c>
      <c r="K323" s="68">
        <f t="shared" si="156"/>
        <v>-169.841</v>
      </c>
      <c r="L323" s="68">
        <f t="shared" si="157"/>
        <v>-1200.3721</v>
      </c>
      <c r="M323" s="69"/>
      <c r="N323" s="41"/>
      <c r="O323" s="22"/>
      <c r="P323" s="22"/>
    </row>
    <row r="324" spans="2:16" ht="12.75">
      <c r="B324" s="15"/>
      <c r="C324" s="16"/>
      <c r="D324" s="38"/>
      <c r="E324" s="63">
        <f t="shared" si="158"/>
        <v>309</v>
      </c>
      <c r="F324" s="108">
        <f t="shared" si="159"/>
        <v>52048</v>
      </c>
      <c r="G324" s="64">
        <f t="shared" si="152"/>
        <v>0.03</v>
      </c>
      <c r="H324" s="68">
        <f t="shared" si="153"/>
        <v>66736.01249999998</v>
      </c>
      <c r="I324" s="68">
        <f t="shared" si="154"/>
        <v>66736.017</v>
      </c>
      <c r="J324" s="68">
        <f t="shared" si="155"/>
        <v>-1370.2131</v>
      </c>
      <c r="K324" s="68">
        <f t="shared" si="156"/>
        <v>-166.84</v>
      </c>
      <c r="L324" s="68">
        <f t="shared" si="157"/>
        <v>-1203.3731</v>
      </c>
      <c r="M324" s="69"/>
      <c r="N324" s="41"/>
      <c r="O324" s="22"/>
      <c r="P324" s="22"/>
    </row>
    <row r="325" spans="2:16" ht="12.75">
      <c r="B325" s="15"/>
      <c r="C325" s="16"/>
      <c r="D325" s="38"/>
      <c r="E325" s="63">
        <f t="shared" si="158"/>
        <v>310</v>
      </c>
      <c r="F325" s="108">
        <f t="shared" si="159"/>
        <v>52079</v>
      </c>
      <c r="G325" s="64">
        <f t="shared" si="152"/>
        <v>0.03</v>
      </c>
      <c r="H325" s="68">
        <f t="shared" si="153"/>
        <v>65532.639399999985</v>
      </c>
      <c r="I325" s="68">
        <f t="shared" si="154"/>
        <v>65532.6439</v>
      </c>
      <c r="J325" s="68">
        <f t="shared" si="155"/>
        <v>-1370.2131</v>
      </c>
      <c r="K325" s="68">
        <f t="shared" si="156"/>
        <v>-163.8316</v>
      </c>
      <c r="L325" s="68">
        <f t="shared" si="157"/>
        <v>-1206.3815</v>
      </c>
      <c r="M325" s="69"/>
      <c r="N325" s="41"/>
      <c r="O325" s="22"/>
      <c r="P325" s="22"/>
    </row>
    <row r="326" spans="2:16" ht="12.75">
      <c r="B326" s="15"/>
      <c r="C326" s="16"/>
      <c r="D326" s="38"/>
      <c r="E326" s="63">
        <f t="shared" si="158"/>
        <v>311</v>
      </c>
      <c r="F326" s="108">
        <f t="shared" si="159"/>
        <v>52110</v>
      </c>
      <c r="G326" s="64">
        <f t="shared" si="152"/>
        <v>0.03</v>
      </c>
      <c r="H326" s="68">
        <f t="shared" si="153"/>
        <v>64326.25789999998</v>
      </c>
      <c r="I326" s="68">
        <f t="shared" si="154"/>
        <v>64326.2624</v>
      </c>
      <c r="J326" s="68">
        <f t="shared" si="155"/>
        <v>-1370.2131</v>
      </c>
      <c r="K326" s="68">
        <f t="shared" si="156"/>
        <v>-160.8157</v>
      </c>
      <c r="L326" s="68">
        <f t="shared" si="157"/>
        <v>-1209.3974</v>
      </c>
      <c r="M326" s="69"/>
      <c r="N326" s="41"/>
      <c r="O326" s="22"/>
      <c r="P326" s="22"/>
    </row>
    <row r="327" spans="2:16" ht="12.75">
      <c r="B327" s="15"/>
      <c r="C327" s="16"/>
      <c r="D327" s="38"/>
      <c r="E327" s="63">
        <f t="shared" si="158"/>
        <v>312</v>
      </c>
      <c r="F327" s="108">
        <f t="shared" si="159"/>
        <v>52140</v>
      </c>
      <c r="G327" s="64">
        <f t="shared" si="152"/>
        <v>0.03</v>
      </c>
      <c r="H327" s="68">
        <f t="shared" si="153"/>
        <v>63116.86039999998</v>
      </c>
      <c r="I327" s="68">
        <f t="shared" si="154"/>
        <v>63116.865</v>
      </c>
      <c r="J327" s="68">
        <f t="shared" si="155"/>
        <v>-1370.2131</v>
      </c>
      <c r="K327" s="68">
        <f t="shared" si="156"/>
        <v>-157.7922</v>
      </c>
      <c r="L327" s="68">
        <f t="shared" si="157"/>
        <v>-1212.4209</v>
      </c>
      <c r="M327" s="69"/>
      <c r="N327" s="41"/>
      <c r="O327" s="22"/>
      <c r="P327" s="22"/>
    </row>
    <row r="328" spans="2:16" ht="12.75">
      <c r="B328" s="15"/>
      <c r="C328" s="16"/>
      <c r="D328" s="38"/>
      <c r="E328" s="63">
        <f t="shared" si="158"/>
        <v>313</v>
      </c>
      <c r="F328" s="108">
        <f t="shared" si="159"/>
        <v>52171</v>
      </c>
      <c r="G328" s="64">
        <f t="shared" si="152"/>
        <v>0.03</v>
      </c>
      <c r="H328" s="68">
        <f t="shared" si="153"/>
        <v>61904.43939999998</v>
      </c>
      <c r="I328" s="68">
        <f t="shared" si="154"/>
        <v>61904.4441</v>
      </c>
      <c r="J328" s="68">
        <f t="shared" si="155"/>
        <v>-1370.2131</v>
      </c>
      <c r="K328" s="68">
        <f t="shared" si="156"/>
        <v>-154.7611</v>
      </c>
      <c r="L328" s="68">
        <f t="shared" si="157"/>
        <v>-1215.452</v>
      </c>
      <c r="M328" s="69"/>
      <c r="N328" s="41"/>
      <c r="O328" s="22"/>
      <c r="P328" s="22"/>
    </row>
    <row r="329" spans="2:16" ht="12.75">
      <c r="B329" s="15"/>
      <c r="C329" s="16"/>
      <c r="D329" s="38"/>
      <c r="E329" s="63">
        <f t="shared" si="158"/>
        <v>314</v>
      </c>
      <c r="F329" s="108">
        <f t="shared" si="159"/>
        <v>52201</v>
      </c>
      <c r="G329" s="64">
        <f t="shared" si="152"/>
        <v>0.03</v>
      </c>
      <c r="H329" s="68">
        <f t="shared" si="153"/>
        <v>60688.98739999998</v>
      </c>
      <c r="I329" s="68">
        <f t="shared" si="154"/>
        <v>60688.9921</v>
      </c>
      <c r="J329" s="68">
        <f t="shared" si="155"/>
        <v>-1370.2131</v>
      </c>
      <c r="K329" s="68">
        <f t="shared" si="156"/>
        <v>-151.7225</v>
      </c>
      <c r="L329" s="68">
        <f t="shared" si="157"/>
        <v>-1218.4906</v>
      </c>
      <c r="M329" s="69"/>
      <c r="N329" s="41"/>
      <c r="O329" s="22"/>
      <c r="P329" s="22"/>
    </row>
    <row r="330" spans="2:16" ht="12.75">
      <c r="B330" s="15"/>
      <c r="C330" s="16"/>
      <c r="D330" s="38"/>
      <c r="E330" s="63">
        <f t="shared" si="158"/>
        <v>315</v>
      </c>
      <c r="F330" s="108">
        <f t="shared" si="159"/>
        <v>52232</v>
      </c>
      <c r="G330" s="64">
        <f t="shared" si="152"/>
        <v>0.03</v>
      </c>
      <c r="H330" s="68">
        <f t="shared" si="153"/>
        <v>59470.496799999986</v>
      </c>
      <c r="I330" s="68">
        <f t="shared" si="154"/>
        <v>59470.5015</v>
      </c>
      <c r="J330" s="68">
        <f t="shared" si="155"/>
        <v>-1370.2131</v>
      </c>
      <c r="K330" s="68">
        <f t="shared" si="156"/>
        <v>-148.6763</v>
      </c>
      <c r="L330" s="68">
        <f t="shared" si="157"/>
        <v>-1221.5368</v>
      </c>
      <c r="M330" s="69"/>
      <c r="N330" s="41"/>
      <c r="O330" s="22"/>
      <c r="P330" s="22"/>
    </row>
    <row r="331" spans="2:16" ht="12.75">
      <c r="B331" s="15"/>
      <c r="C331" s="16"/>
      <c r="D331" s="38"/>
      <c r="E331" s="63">
        <f t="shared" si="158"/>
        <v>316</v>
      </c>
      <c r="F331" s="108">
        <f t="shared" si="159"/>
        <v>52263</v>
      </c>
      <c r="G331" s="64">
        <f t="shared" si="152"/>
        <v>0.03</v>
      </c>
      <c r="H331" s="68">
        <f t="shared" si="153"/>
        <v>58248.95989999999</v>
      </c>
      <c r="I331" s="68">
        <f t="shared" si="154"/>
        <v>58248.9647</v>
      </c>
      <c r="J331" s="68">
        <f t="shared" si="155"/>
        <v>-1370.2131</v>
      </c>
      <c r="K331" s="68">
        <f t="shared" si="156"/>
        <v>-145.6224</v>
      </c>
      <c r="L331" s="68">
        <f t="shared" si="157"/>
        <v>-1224.5907</v>
      </c>
      <c r="M331" s="69"/>
      <c r="N331" s="41"/>
      <c r="O331" s="22"/>
      <c r="P331" s="22"/>
    </row>
    <row r="332" spans="2:16" ht="12.75">
      <c r="B332" s="15"/>
      <c r="C332" s="16"/>
      <c r="D332" s="38"/>
      <c r="E332" s="63">
        <f t="shared" si="158"/>
        <v>317</v>
      </c>
      <c r="F332" s="108">
        <f t="shared" si="159"/>
        <v>52291</v>
      </c>
      <c r="G332" s="64">
        <f t="shared" si="152"/>
        <v>0.03</v>
      </c>
      <c r="H332" s="68">
        <f t="shared" si="153"/>
        <v>57024.36919999999</v>
      </c>
      <c r="I332" s="68">
        <f t="shared" si="154"/>
        <v>57024.374</v>
      </c>
      <c r="J332" s="68">
        <f t="shared" si="155"/>
        <v>-1370.2131</v>
      </c>
      <c r="K332" s="68">
        <f t="shared" si="156"/>
        <v>-142.5609</v>
      </c>
      <c r="L332" s="68">
        <f t="shared" si="157"/>
        <v>-1227.6522</v>
      </c>
      <c r="M332" s="69"/>
      <c r="N332" s="41"/>
      <c r="O332" s="22"/>
      <c r="P332" s="22"/>
    </row>
    <row r="333" spans="2:16" ht="12.75">
      <c r="B333" s="15"/>
      <c r="C333" s="16"/>
      <c r="D333" s="38"/>
      <c r="E333" s="63">
        <f t="shared" si="158"/>
        <v>318</v>
      </c>
      <c r="F333" s="108">
        <f t="shared" si="159"/>
        <v>52322</v>
      </c>
      <c r="G333" s="64">
        <f t="shared" si="152"/>
        <v>0.03</v>
      </c>
      <c r="H333" s="68">
        <f t="shared" si="153"/>
        <v>55796.71699999999</v>
      </c>
      <c r="I333" s="68">
        <f t="shared" si="154"/>
        <v>55796.7218</v>
      </c>
      <c r="J333" s="68">
        <f t="shared" si="155"/>
        <v>-1370.2131</v>
      </c>
      <c r="K333" s="68">
        <f t="shared" si="156"/>
        <v>-139.4918</v>
      </c>
      <c r="L333" s="68">
        <f t="shared" si="157"/>
        <v>-1230.7213</v>
      </c>
      <c r="M333" s="69"/>
      <c r="N333" s="41"/>
      <c r="O333" s="22"/>
      <c r="P333" s="22"/>
    </row>
    <row r="334" spans="2:16" ht="12.75">
      <c r="B334" s="15"/>
      <c r="C334" s="16"/>
      <c r="D334" s="38"/>
      <c r="E334" s="63">
        <f t="shared" si="158"/>
        <v>319</v>
      </c>
      <c r="F334" s="108">
        <f t="shared" si="159"/>
        <v>52352</v>
      </c>
      <c r="G334" s="64">
        <f t="shared" si="152"/>
        <v>0.03</v>
      </c>
      <c r="H334" s="68">
        <f t="shared" si="153"/>
        <v>54565.99569999999</v>
      </c>
      <c r="I334" s="68">
        <f t="shared" si="154"/>
        <v>54566.0005</v>
      </c>
      <c r="J334" s="68">
        <f t="shared" si="155"/>
        <v>-1370.2131</v>
      </c>
      <c r="K334" s="68">
        <f t="shared" si="156"/>
        <v>-136.415</v>
      </c>
      <c r="L334" s="68">
        <f t="shared" si="157"/>
        <v>-1233.7981</v>
      </c>
      <c r="M334" s="69"/>
      <c r="N334" s="41"/>
      <c r="O334" s="22"/>
      <c r="P334" s="22"/>
    </row>
    <row r="335" spans="2:16" ht="12.75">
      <c r="B335" s="15"/>
      <c r="C335" s="16"/>
      <c r="D335" s="38"/>
      <c r="E335" s="63">
        <f t="shared" si="158"/>
        <v>320</v>
      </c>
      <c r="F335" s="108">
        <f t="shared" si="159"/>
        <v>52383</v>
      </c>
      <c r="G335" s="64">
        <f aca="true" t="shared" si="160" ref="G335:G350">IF(E335&lt;=data6*$C$12,G334,"")</f>
        <v>0.03</v>
      </c>
      <c r="H335" s="68">
        <f aca="true" t="shared" si="161" ref="H335:H350">IF(OR($C$12&lt;0.05,I335&lt;0.05,PERYR&lt;0.05),0,H334+ROUND(PPMT(G334/PERYR,1,$C$11-E334+1,H334),4))</f>
        <v>53332.19759999999</v>
      </c>
      <c r="I335" s="68">
        <f aca="true" t="shared" si="162" ref="I335:I350">IF(H334&gt;0.05,ROUND(I334+L334+M334,4),0)</f>
        <v>53332.2024</v>
      </c>
      <c r="J335" s="68">
        <f aca="true" t="shared" si="163" ref="J335:J350">IF(OR($C$12&lt;0.05,I335&lt;0.05,PERYR&lt;0.05,H335&lt;0.05),0,(ROUND(IF(J334+I335&lt;0,-I335+K335,IF($C$10=0,PMT(G335/PERYR,$C$11-E334,H335),-$C$13)),4)))</f>
        <v>-1370.2131</v>
      </c>
      <c r="K335" s="68">
        <f aca="true" t="shared" si="164" ref="K335:K350">IF(OR($C$12&lt;0.05,I335&lt;0.05,PERYR&lt;0.05,H335&lt;0.05),0,(ROUND(IPMT(G335/PERYR,1,$C$11-E334,I335),4)))</f>
        <v>-133.3305</v>
      </c>
      <c r="L335" s="68">
        <f aca="true" t="shared" si="165" ref="L335:L350">-ROUND(MIN(I335,K335-J335),4)</f>
        <v>-1236.8826</v>
      </c>
      <c r="M335" s="69"/>
      <c r="N335" s="41"/>
      <c r="O335" s="22"/>
      <c r="P335" s="22"/>
    </row>
    <row r="336" spans="2:16" ht="12.75">
      <c r="B336" s="15"/>
      <c r="C336" s="16"/>
      <c r="D336" s="38"/>
      <c r="E336" s="63">
        <f t="shared" si="158"/>
        <v>321</v>
      </c>
      <c r="F336" s="108">
        <f t="shared" si="159"/>
        <v>52413</v>
      </c>
      <c r="G336" s="64">
        <f t="shared" si="160"/>
        <v>0.03</v>
      </c>
      <c r="H336" s="68">
        <f t="shared" si="161"/>
        <v>52095.314999999995</v>
      </c>
      <c r="I336" s="68">
        <f t="shared" si="162"/>
        <v>52095.3198</v>
      </c>
      <c r="J336" s="68">
        <f t="shared" si="163"/>
        <v>-1370.2131</v>
      </c>
      <c r="K336" s="68">
        <f t="shared" si="164"/>
        <v>-130.2383</v>
      </c>
      <c r="L336" s="68">
        <f t="shared" si="165"/>
        <v>-1239.9748</v>
      </c>
      <c r="M336" s="69"/>
      <c r="N336" s="41"/>
      <c r="O336" s="22"/>
      <c r="P336" s="22"/>
    </row>
    <row r="337" spans="2:16" ht="12.75">
      <c r="B337" s="15"/>
      <c r="C337" s="16"/>
      <c r="D337" s="38"/>
      <c r="E337" s="63">
        <f aca="true" t="shared" si="166" ref="E337:E352">1+E336</f>
        <v>322</v>
      </c>
      <c r="F337" s="108">
        <f t="shared" si="159"/>
        <v>52444</v>
      </c>
      <c r="G337" s="64">
        <f t="shared" si="160"/>
        <v>0.03</v>
      </c>
      <c r="H337" s="68">
        <f t="shared" si="161"/>
        <v>50855.34019999999</v>
      </c>
      <c r="I337" s="68">
        <f t="shared" si="162"/>
        <v>50855.345</v>
      </c>
      <c r="J337" s="68">
        <f t="shared" si="163"/>
        <v>-1370.2131</v>
      </c>
      <c r="K337" s="68">
        <f t="shared" si="164"/>
        <v>-127.1384</v>
      </c>
      <c r="L337" s="68">
        <f t="shared" si="165"/>
        <v>-1243.0747</v>
      </c>
      <c r="M337" s="69"/>
      <c r="N337" s="41"/>
      <c r="O337" s="22"/>
      <c r="P337" s="22"/>
    </row>
    <row r="338" spans="2:16" ht="12.75">
      <c r="B338" s="15"/>
      <c r="C338" s="16"/>
      <c r="D338" s="38"/>
      <c r="E338" s="63">
        <f t="shared" si="166"/>
        <v>323</v>
      </c>
      <c r="F338" s="108">
        <f t="shared" si="159"/>
        <v>52475</v>
      </c>
      <c r="G338" s="64">
        <f t="shared" si="160"/>
        <v>0.03</v>
      </c>
      <c r="H338" s="68">
        <f t="shared" si="161"/>
        <v>49612.26539999999</v>
      </c>
      <c r="I338" s="68">
        <f t="shared" si="162"/>
        <v>49612.2703</v>
      </c>
      <c r="J338" s="68">
        <f t="shared" si="163"/>
        <v>-1370.2131</v>
      </c>
      <c r="K338" s="68">
        <f t="shared" si="164"/>
        <v>-124.0307</v>
      </c>
      <c r="L338" s="68">
        <f t="shared" si="165"/>
        <v>-1246.1824</v>
      </c>
      <c r="M338" s="69"/>
      <c r="N338" s="41"/>
      <c r="O338" s="22"/>
      <c r="P338" s="22"/>
    </row>
    <row r="339" spans="2:16" ht="12.75">
      <c r="B339" s="15"/>
      <c r="C339" s="16"/>
      <c r="D339" s="38"/>
      <c r="E339" s="63">
        <f t="shared" si="166"/>
        <v>324</v>
      </c>
      <c r="F339" s="108">
        <f aca="true" t="shared" si="167" ref="F339:F354">IF(H339&gt;0.01,DATE(YEAR($F$16),MONTH($F$16)+(E339-1)*12/PERYR,DAY($F$16)),"")</f>
        <v>52505</v>
      </c>
      <c r="G339" s="64">
        <f t="shared" si="160"/>
        <v>0.03</v>
      </c>
      <c r="H339" s="68">
        <f t="shared" si="161"/>
        <v>48366.08299999999</v>
      </c>
      <c r="I339" s="68">
        <f t="shared" si="162"/>
        <v>48366.0879</v>
      </c>
      <c r="J339" s="68">
        <f t="shared" si="163"/>
        <v>-1370.2131</v>
      </c>
      <c r="K339" s="68">
        <f t="shared" si="164"/>
        <v>-120.9152</v>
      </c>
      <c r="L339" s="68">
        <f t="shared" si="165"/>
        <v>-1249.2979</v>
      </c>
      <c r="M339" s="69"/>
      <c r="N339" s="41"/>
      <c r="O339" s="22"/>
      <c r="P339" s="22"/>
    </row>
    <row r="340" spans="2:16" ht="12.75">
      <c r="B340" s="15"/>
      <c r="C340" s="16"/>
      <c r="D340" s="38"/>
      <c r="E340" s="63">
        <f t="shared" si="166"/>
        <v>325</v>
      </c>
      <c r="F340" s="108">
        <f t="shared" si="167"/>
        <v>52536</v>
      </c>
      <c r="G340" s="64">
        <f t="shared" si="160"/>
        <v>0.03</v>
      </c>
      <c r="H340" s="68">
        <f t="shared" si="161"/>
        <v>47116.785099999994</v>
      </c>
      <c r="I340" s="68">
        <f t="shared" si="162"/>
        <v>47116.79</v>
      </c>
      <c r="J340" s="68">
        <f t="shared" si="163"/>
        <v>-1370.2131</v>
      </c>
      <c r="K340" s="68">
        <f t="shared" si="164"/>
        <v>-117.792</v>
      </c>
      <c r="L340" s="68">
        <f t="shared" si="165"/>
        <v>-1252.4211</v>
      </c>
      <c r="M340" s="69"/>
      <c r="N340" s="41"/>
      <c r="O340" s="22"/>
      <c r="P340" s="22"/>
    </row>
    <row r="341" spans="2:16" ht="12.75">
      <c r="B341" s="15"/>
      <c r="C341" s="16"/>
      <c r="D341" s="38"/>
      <c r="E341" s="63">
        <f t="shared" si="166"/>
        <v>326</v>
      </c>
      <c r="F341" s="108">
        <f t="shared" si="167"/>
        <v>52566</v>
      </c>
      <c r="G341" s="64">
        <f t="shared" si="160"/>
        <v>0.03</v>
      </c>
      <c r="H341" s="68">
        <f t="shared" si="161"/>
        <v>45864.363999999994</v>
      </c>
      <c r="I341" s="68">
        <f t="shared" si="162"/>
        <v>45864.3689</v>
      </c>
      <c r="J341" s="68">
        <f t="shared" si="163"/>
        <v>-1370.2131</v>
      </c>
      <c r="K341" s="68">
        <f t="shared" si="164"/>
        <v>-114.6609</v>
      </c>
      <c r="L341" s="68">
        <f t="shared" si="165"/>
        <v>-1255.5522</v>
      </c>
      <c r="M341" s="69"/>
      <c r="N341" s="41"/>
      <c r="O341" s="22"/>
      <c r="P341" s="22"/>
    </row>
    <row r="342" spans="2:16" ht="12.75">
      <c r="B342" s="15"/>
      <c r="C342" s="16"/>
      <c r="D342" s="38"/>
      <c r="E342" s="63">
        <f t="shared" si="166"/>
        <v>327</v>
      </c>
      <c r="F342" s="108">
        <f t="shared" si="167"/>
        <v>52597</v>
      </c>
      <c r="G342" s="64">
        <f t="shared" si="160"/>
        <v>0.03</v>
      </c>
      <c r="H342" s="68">
        <f t="shared" si="161"/>
        <v>44608.811799999996</v>
      </c>
      <c r="I342" s="68">
        <f t="shared" si="162"/>
        <v>44608.8167</v>
      </c>
      <c r="J342" s="68">
        <f t="shared" si="163"/>
        <v>-1370.2131</v>
      </c>
      <c r="K342" s="68">
        <f t="shared" si="164"/>
        <v>-111.522</v>
      </c>
      <c r="L342" s="68">
        <f t="shared" si="165"/>
        <v>-1258.6911</v>
      </c>
      <c r="M342" s="69"/>
      <c r="N342" s="41"/>
      <c r="O342" s="22"/>
      <c r="P342" s="22"/>
    </row>
    <row r="343" spans="2:16" ht="12.75">
      <c r="B343" s="15"/>
      <c r="C343" s="16"/>
      <c r="D343" s="38"/>
      <c r="E343" s="63">
        <f t="shared" si="166"/>
        <v>328</v>
      </c>
      <c r="F343" s="108">
        <f t="shared" si="167"/>
        <v>52628</v>
      </c>
      <c r="G343" s="64">
        <f t="shared" si="160"/>
        <v>0.03</v>
      </c>
      <c r="H343" s="68">
        <f t="shared" si="161"/>
        <v>43350.1207</v>
      </c>
      <c r="I343" s="68">
        <f t="shared" si="162"/>
        <v>43350.1256</v>
      </c>
      <c r="J343" s="68">
        <f t="shared" si="163"/>
        <v>-1370.2131</v>
      </c>
      <c r="K343" s="68">
        <f t="shared" si="164"/>
        <v>-108.3753</v>
      </c>
      <c r="L343" s="68">
        <f t="shared" si="165"/>
        <v>-1261.8378</v>
      </c>
      <c r="M343" s="69"/>
      <c r="N343" s="41"/>
      <c r="O343" s="22"/>
      <c r="P343" s="22"/>
    </row>
    <row r="344" spans="2:16" ht="12.75">
      <c r="B344" s="15"/>
      <c r="C344" s="16"/>
      <c r="D344" s="38"/>
      <c r="E344" s="63">
        <f t="shared" si="166"/>
        <v>329</v>
      </c>
      <c r="F344" s="108">
        <f t="shared" si="167"/>
        <v>52657</v>
      </c>
      <c r="G344" s="64">
        <f t="shared" si="160"/>
        <v>0.03</v>
      </c>
      <c r="H344" s="68">
        <f t="shared" si="161"/>
        <v>42088.2829</v>
      </c>
      <c r="I344" s="68">
        <f t="shared" si="162"/>
        <v>42088.2878</v>
      </c>
      <c r="J344" s="68">
        <f t="shared" si="163"/>
        <v>-1370.2131</v>
      </c>
      <c r="K344" s="68">
        <f t="shared" si="164"/>
        <v>-105.2207</v>
      </c>
      <c r="L344" s="68">
        <f t="shared" si="165"/>
        <v>-1264.9924</v>
      </c>
      <c r="M344" s="69"/>
      <c r="N344" s="41"/>
      <c r="O344" s="22"/>
      <c r="P344" s="22"/>
    </row>
    <row r="345" spans="2:16" ht="12.75">
      <c r="B345" s="15"/>
      <c r="C345" s="16"/>
      <c r="D345" s="38"/>
      <c r="E345" s="63">
        <f t="shared" si="166"/>
        <v>330</v>
      </c>
      <c r="F345" s="108">
        <f t="shared" si="167"/>
        <v>52688</v>
      </c>
      <c r="G345" s="64">
        <f t="shared" si="160"/>
        <v>0.03</v>
      </c>
      <c r="H345" s="68">
        <f t="shared" si="161"/>
        <v>40823.290499999996</v>
      </c>
      <c r="I345" s="68">
        <f t="shared" si="162"/>
        <v>40823.2954</v>
      </c>
      <c r="J345" s="68">
        <f t="shared" si="163"/>
        <v>-1370.2131</v>
      </c>
      <c r="K345" s="68">
        <f t="shared" si="164"/>
        <v>-102.0582</v>
      </c>
      <c r="L345" s="68">
        <f t="shared" si="165"/>
        <v>-1268.1549</v>
      </c>
      <c r="M345" s="69"/>
      <c r="N345" s="41"/>
      <c r="O345" s="22"/>
      <c r="P345" s="22"/>
    </row>
    <row r="346" spans="2:16" ht="12.75">
      <c r="B346" s="15"/>
      <c r="C346" s="16"/>
      <c r="D346" s="38"/>
      <c r="E346" s="63">
        <f t="shared" si="166"/>
        <v>331</v>
      </c>
      <c r="F346" s="108">
        <f t="shared" si="167"/>
        <v>52718</v>
      </c>
      <c r="G346" s="64">
        <f t="shared" si="160"/>
        <v>0.03</v>
      </c>
      <c r="H346" s="68">
        <f t="shared" si="161"/>
        <v>39555.135599999994</v>
      </c>
      <c r="I346" s="68">
        <f t="shared" si="162"/>
        <v>39555.1405</v>
      </c>
      <c r="J346" s="68">
        <f t="shared" si="163"/>
        <v>-1370.2131</v>
      </c>
      <c r="K346" s="68">
        <f t="shared" si="164"/>
        <v>-98.8879</v>
      </c>
      <c r="L346" s="68">
        <f t="shared" si="165"/>
        <v>-1271.3252</v>
      </c>
      <c r="M346" s="69"/>
      <c r="N346" s="41"/>
      <c r="O346" s="22"/>
      <c r="P346" s="22"/>
    </row>
    <row r="347" spans="2:16" ht="12.75">
      <c r="B347" s="15"/>
      <c r="C347" s="16"/>
      <c r="D347" s="38"/>
      <c r="E347" s="63">
        <f t="shared" si="166"/>
        <v>332</v>
      </c>
      <c r="F347" s="108">
        <f t="shared" si="167"/>
        <v>52749</v>
      </c>
      <c r="G347" s="64">
        <f t="shared" si="160"/>
        <v>0.03</v>
      </c>
      <c r="H347" s="68">
        <f t="shared" si="161"/>
        <v>38283.8103</v>
      </c>
      <c r="I347" s="68">
        <f t="shared" si="162"/>
        <v>38283.8153</v>
      </c>
      <c r="J347" s="68">
        <f t="shared" si="163"/>
        <v>-1370.2131</v>
      </c>
      <c r="K347" s="68">
        <f t="shared" si="164"/>
        <v>-95.7095</v>
      </c>
      <c r="L347" s="68">
        <f t="shared" si="165"/>
        <v>-1274.5036</v>
      </c>
      <c r="M347" s="69"/>
      <c r="N347" s="41"/>
      <c r="O347" s="22"/>
      <c r="P347" s="22"/>
    </row>
    <row r="348" spans="2:16" ht="12.75">
      <c r="B348" s="15"/>
      <c r="C348" s="16"/>
      <c r="D348" s="38"/>
      <c r="E348" s="63">
        <f t="shared" si="166"/>
        <v>333</v>
      </c>
      <c r="F348" s="108">
        <f t="shared" si="167"/>
        <v>52779</v>
      </c>
      <c r="G348" s="64">
        <f t="shared" si="160"/>
        <v>0.03</v>
      </c>
      <c r="H348" s="68">
        <f t="shared" si="161"/>
        <v>37009.3067</v>
      </c>
      <c r="I348" s="68">
        <f t="shared" si="162"/>
        <v>37009.3117</v>
      </c>
      <c r="J348" s="68">
        <f t="shared" si="163"/>
        <v>-1370.2131</v>
      </c>
      <c r="K348" s="68">
        <f t="shared" si="164"/>
        <v>-92.5233</v>
      </c>
      <c r="L348" s="68">
        <f t="shared" si="165"/>
        <v>-1277.6898</v>
      </c>
      <c r="M348" s="69"/>
      <c r="N348" s="41"/>
      <c r="O348" s="22"/>
      <c r="P348" s="22"/>
    </row>
    <row r="349" spans="2:16" ht="12.75">
      <c r="B349" s="15"/>
      <c r="C349" s="16"/>
      <c r="D349" s="38"/>
      <c r="E349" s="63">
        <f t="shared" si="166"/>
        <v>334</v>
      </c>
      <c r="F349" s="108">
        <f t="shared" si="167"/>
        <v>52810</v>
      </c>
      <c r="G349" s="64">
        <f t="shared" si="160"/>
        <v>0.03</v>
      </c>
      <c r="H349" s="68">
        <f t="shared" si="161"/>
        <v>35731.6169</v>
      </c>
      <c r="I349" s="68">
        <f t="shared" si="162"/>
        <v>35731.6219</v>
      </c>
      <c r="J349" s="68">
        <f t="shared" si="163"/>
        <v>-1370.2131</v>
      </c>
      <c r="K349" s="68">
        <f t="shared" si="164"/>
        <v>-89.3291</v>
      </c>
      <c r="L349" s="68">
        <f t="shared" si="165"/>
        <v>-1280.884</v>
      </c>
      <c r="M349" s="69"/>
      <c r="N349" s="41"/>
      <c r="O349" s="22"/>
      <c r="P349" s="22"/>
    </row>
    <row r="350" spans="2:16" ht="12.75">
      <c r="B350" s="15"/>
      <c r="C350" s="16"/>
      <c r="D350" s="38"/>
      <c r="E350" s="63">
        <f t="shared" si="166"/>
        <v>335</v>
      </c>
      <c r="F350" s="108">
        <f t="shared" si="167"/>
        <v>52841</v>
      </c>
      <c r="G350" s="64">
        <f t="shared" si="160"/>
        <v>0.03</v>
      </c>
      <c r="H350" s="68">
        <f t="shared" si="161"/>
        <v>34450.7328</v>
      </c>
      <c r="I350" s="68">
        <f t="shared" si="162"/>
        <v>34450.7379</v>
      </c>
      <c r="J350" s="68">
        <f t="shared" si="163"/>
        <v>-1370.2131</v>
      </c>
      <c r="K350" s="68">
        <f t="shared" si="164"/>
        <v>-86.1268</v>
      </c>
      <c r="L350" s="68">
        <f t="shared" si="165"/>
        <v>-1284.0863</v>
      </c>
      <c r="M350" s="69"/>
      <c r="N350" s="41"/>
      <c r="O350" s="22"/>
      <c r="P350" s="22"/>
    </row>
    <row r="351" spans="2:16" ht="12.75">
      <c r="B351" s="15"/>
      <c r="C351" s="16"/>
      <c r="D351" s="38"/>
      <c r="E351" s="63">
        <f t="shared" si="166"/>
        <v>336</v>
      </c>
      <c r="F351" s="108">
        <f t="shared" si="167"/>
        <v>52871</v>
      </c>
      <c r="G351" s="64">
        <f aca="true" t="shared" si="168" ref="G351:G366">IF(E351&lt;=data6*$C$12,G350,"")</f>
        <v>0.03</v>
      </c>
      <c r="H351" s="68">
        <f aca="true" t="shared" si="169" ref="H351:H366">IF(OR($C$12&lt;0.05,I351&lt;0.05,PERYR&lt;0.05),0,H350+ROUND(PPMT(G350/PERYR,1,$C$11-E350+1,H350),4))</f>
        <v>33166.646499999995</v>
      </c>
      <c r="I351" s="68">
        <f aca="true" t="shared" si="170" ref="I351:I366">IF(H350&gt;0.05,ROUND(I350+L350+M350,4),0)</f>
        <v>33166.6516</v>
      </c>
      <c r="J351" s="68">
        <f aca="true" t="shared" si="171" ref="J351:J366">IF(OR($C$12&lt;0.05,I351&lt;0.05,PERYR&lt;0.05,H351&lt;0.05),0,(ROUND(IF(J350+I351&lt;0,-I351+K351,IF($C$10=0,PMT(G351/PERYR,$C$11-E350,H351),-$C$13)),4)))</f>
        <v>-1370.2131</v>
      </c>
      <c r="K351" s="68">
        <f aca="true" t="shared" si="172" ref="K351:K366">IF(OR($C$12&lt;0.05,I351&lt;0.05,PERYR&lt;0.05,H351&lt;0.05),0,(ROUND(IPMT(G351/PERYR,1,$C$11-E350,I351),4)))</f>
        <v>-82.9166</v>
      </c>
      <c r="L351" s="68">
        <f aca="true" t="shared" si="173" ref="L351:L366">-ROUND(MIN(I351,K351-J351),4)</f>
        <v>-1287.2965</v>
      </c>
      <c r="M351" s="69"/>
      <c r="N351" s="41"/>
      <c r="O351" s="22"/>
      <c r="P351" s="22"/>
    </row>
    <row r="352" spans="2:16" ht="12.75">
      <c r="B352" s="15"/>
      <c r="C352" s="16"/>
      <c r="D352" s="38"/>
      <c r="E352" s="63">
        <f t="shared" si="166"/>
        <v>337</v>
      </c>
      <c r="F352" s="108">
        <f t="shared" si="167"/>
        <v>52902</v>
      </c>
      <c r="G352" s="64">
        <f t="shared" si="168"/>
        <v>0.03</v>
      </c>
      <c r="H352" s="68">
        <f t="shared" si="169"/>
        <v>31879.349999999995</v>
      </c>
      <c r="I352" s="68">
        <f t="shared" si="170"/>
        <v>31879.3551</v>
      </c>
      <c r="J352" s="68">
        <f t="shared" si="171"/>
        <v>-1370.2131</v>
      </c>
      <c r="K352" s="68">
        <f t="shared" si="172"/>
        <v>-79.6984</v>
      </c>
      <c r="L352" s="68">
        <f t="shared" si="173"/>
        <v>-1290.5147</v>
      </c>
      <c r="M352" s="69"/>
      <c r="N352" s="41"/>
      <c r="O352" s="22"/>
      <c r="P352" s="22"/>
    </row>
    <row r="353" spans="2:16" ht="12.75">
      <c r="B353" s="15"/>
      <c r="C353" s="16"/>
      <c r="D353" s="38"/>
      <c r="E353" s="63">
        <f aca="true" t="shared" si="174" ref="E353:E368">1+E352</f>
        <v>338</v>
      </c>
      <c r="F353" s="108">
        <f t="shared" si="167"/>
        <v>52932</v>
      </c>
      <c r="G353" s="64">
        <f t="shared" si="168"/>
        <v>0.03</v>
      </c>
      <c r="H353" s="68">
        <f t="shared" si="169"/>
        <v>30588.835299999995</v>
      </c>
      <c r="I353" s="68">
        <f t="shared" si="170"/>
        <v>30588.8404</v>
      </c>
      <c r="J353" s="68">
        <f t="shared" si="171"/>
        <v>-1370.2131</v>
      </c>
      <c r="K353" s="68">
        <f t="shared" si="172"/>
        <v>-76.4721</v>
      </c>
      <c r="L353" s="68">
        <f t="shared" si="173"/>
        <v>-1293.741</v>
      </c>
      <c r="M353" s="69"/>
      <c r="N353" s="41"/>
      <c r="O353" s="22"/>
      <c r="P353" s="22"/>
    </row>
    <row r="354" spans="2:16" ht="12.75">
      <c r="B354" s="15"/>
      <c r="C354" s="16"/>
      <c r="D354" s="38"/>
      <c r="E354" s="63">
        <f t="shared" si="174"/>
        <v>339</v>
      </c>
      <c r="F354" s="108">
        <f t="shared" si="167"/>
        <v>52963</v>
      </c>
      <c r="G354" s="64">
        <f t="shared" si="168"/>
        <v>0.03</v>
      </c>
      <c r="H354" s="68">
        <f t="shared" si="169"/>
        <v>29295.094299999997</v>
      </c>
      <c r="I354" s="68">
        <f t="shared" si="170"/>
        <v>29295.0994</v>
      </c>
      <c r="J354" s="68">
        <f t="shared" si="171"/>
        <v>-1370.2131</v>
      </c>
      <c r="K354" s="68">
        <f t="shared" si="172"/>
        <v>-73.2377</v>
      </c>
      <c r="L354" s="68">
        <f t="shared" si="173"/>
        <v>-1296.9754</v>
      </c>
      <c r="M354" s="69"/>
      <c r="N354" s="41"/>
      <c r="O354" s="22"/>
      <c r="P354" s="22"/>
    </row>
    <row r="355" spans="2:16" ht="12.75">
      <c r="B355" s="15"/>
      <c r="C355" s="16"/>
      <c r="D355" s="38"/>
      <c r="E355" s="63">
        <f t="shared" si="174"/>
        <v>340</v>
      </c>
      <c r="F355" s="108">
        <f aca="true" t="shared" si="175" ref="F355:F370">IF(H355&gt;0.01,DATE(YEAR($F$16),MONTH($F$16)+(E355-1)*12/PERYR,DAY($F$16)),"")</f>
        <v>52994</v>
      </c>
      <c r="G355" s="64">
        <f t="shared" si="168"/>
        <v>0.03</v>
      </c>
      <c r="H355" s="68">
        <f t="shared" si="169"/>
        <v>27998.118899999998</v>
      </c>
      <c r="I355" s="68">
        <f t="shared" si="170"/>
        <v>27998.124</v>
      </c>
      <c r="J355" s="68">
        <f t="shared" si="171"/>
        <v>-1370.2131</v>
      </c>
      <c r="K355" s="68">
        <f t="shared" si="172"/>
        <v>-69.9953</v>
      </c>
      <c r="L355" s="68">
        <f t="shared" si="173"/>
        <v>-1300.2178</v>
      </c>
      <c r="M355" s="69"/>
      <c r="N355" s="41"/>
      <c r="O355" s="22"/>
      <c r="P355" s="22"/>
    </row>
    <row r="356" spans="2:16" ht="12.75">
      <c r="B356" s="15"/>
      <c r="C356" s="16"/>
      <c r="D356" s="38"/>
      <c r="E356" s="63">
        <f t="shared" si="174"/>
        <v>341</v>
      </c>
      <c r="F356" s="108">
        <f t="shared" si="175"/>
        <v>53022</v>
      </c>
      <c r="G356" s="64">
        <f t="shared" si="168"/>
        <v>0.03</v>
      </c>
      <c r="H356" s="68">
        <f t="shared" si="169"/>
        <v>26697.9011</v>
      </c>
      <c r="I356" s="68">
        <f t="shared" si="170"/>
        <v>26697.9062</v>
      </c>
      <c r="J356" s="68">
        <f t="shared" si="171"/>
        <v>-1370.2131</v>
      </c>
      <c r="K356" s="68">
        <f t="shared" si="172"/>
        <v>-66.7448</v>
      </c>
      <c r="L356" s="68">
        <f t="shared" si="173"/>
        <v>-1303.4683</v>
      </c>
      <c r="M356" s="69"/>
      <c r="N356" s="41"/>
      <c r="O356" s="22"/>
      <c r="P356" s="22"/>
    </row>
    <row r="357" spans="2:16" ht="12.75">
      <c r="B357" s="15"/>
      <c r="C357" s="16"/>
      <c r="D357" s="38"/>
      <c r="E357" s="63">
        <f t="shared" si="174"/>
        <v>342</v>
      </c>
      <c r="F357" s="108">
        <f t="shared" si="175"/>
        <v>53053</v>
      </c>
      <c r="G357" s="64">
        <f t="shared" si="168"/>
        <v>0.03</v>
      </c>
      <c r="H357" s="68">
        <f t="shared" si="169"/>
        <v>25394.4328</v>
      </c>
      <c r="I357" s="68">
        <f t="shared" si="170"/>
        <v>25394.4379</v>
      </c>
      <c r="J357" s="68">
        <f t="shared" si="171"/>
        <v>-1370.2131</v>
      </c>
      <c r="K357" s="68">
        <f t="shared" si="172"/>
        <v>-63.4861</v>
      </c>
      <c r="L357" s="68">
        <f t="shared" si="173"/>
        <v>-1306.727</v>
      </c>
      <c r="M357" s="69"/>
      <c r="N357" s="41"/>
      <c r="O357" s="22"/>
      <c r="P357" s="22"/>
    </row>
    <row r="358" spans="2:16" ht="12.75">
      <c r="B358" s="15"/>
      <c r="C358" s="16"/>
      <c r="D358" s="38"/>
      <c r="E358" s="63">
        <f t="shared" si="174"/>
        <v>343</v>
      </c>
      <c r="F358" s="108">
        <f t="shared" si="175"/>
        <v>53083</v>
      </c>
      <c r="G358" s="64">
        <f t="shared" si="168"/>
        <v>0.03</v>
      </c>
      <c r="H358" s="68">
        <f t="shared" si="169"/>
        <v>24087.7058</v>
      </c>
      <c r="I358" s="68">
        <f t="shared" si="170"/>
        <v>24087.7109</v>
      </c>
      <c r="J358" s="68">
        <f t="shared" si="171"/>
        <v>-1370.2131</v>
      </c>
      <c r="K358" s="68">
        <f t="shared" si="172"/>
        <v>-60.2193</v>
      </c>
      <c r="L358" s="68">
        <f t="shared" si="173"/>
        <v>-1309.9938</v>
      </c>
      <c r="M358" s="69"/>
      <c r="N358" s="41"/>
      <c r="O358" s="22"/>
      <c r="P358" s="22"/>
    </row>
    <row r="359" spans="2:16" ht="12.75">
      <c r="B359" s="15"/>
      <c r="C359" s="16"/>
      <c r="D359" s="38"/>
      <c r="E359" s="63">
        <f t="shared" si="174"/>
        <v>344</v>
      </c>
      <c r="F359" s="108">
        <f t="shared" si="175"/>
        <v>53114</v>
      </c>
      <c r="G359" s="64">
        <f t="shared" si="168"/>
        <v>0.03</v>
      </c>
      <c r="H359" s="68">
        <f t="shared" si="169"/>
        <v>22777.712</v>
      </c>
      <c r="I359" s="68">
        <f t="shared" si="170"/>
        <v>22777.7171</v>
      </c>
      <c r="J359" s="68">
        <f t="shared" si="171"/>
        <v>-1370.2131</v>
      </c>
      <c r="K359" s="68">
        <f t="shared" si="172"/>
        <v>-56.9443</v>
      </c>
      <c r="L359" s="68">
        <f t="shared" si="173"/>
        <v>-1313.2688</v>
      </c>
      <c r="M359" s="69"/>
      <c r="N359" s="41"/>
      <c r="O359" s="22"/>
      <c r="P359" s="22"/>
    </row>
    <row r="360" spans="2:16" ht="12.75">
      <c r="B360" s="15"/>
      <c r="C360" s="16"/>
      <c r="D360" s="38"/>
      <c r="E360" s="63">
        <f t="shared" si="174"/>
        <v>345</v>
      </c>
      <c r="F360" s="108">
        <f t="shared" si="175"/>
        <v>53144</v>
      </c>
      <c r="G360" s="64">
        <f t="shared" si="168"/>
        <v>0.03</v>
      </c>
      <c r="H360" s="68">
        <f t="shared" si="169"/>
        <v>21464.443199999998</v>
      </c>
      <c r="I360" s="68">
        <f t="shared" si="170"/>
        <v>21464.4483</v>
      </c>
      <c r="J360" s="68">
        <f t="shared" si="171"/>
        <v>-1370.2131</v>
      </c>
      <c r="K360" s="68">
        <f t="shared" si="172"/>
        <v>-53.6611</v>
      </c>
      <c r="L360" s="68">
        <f t="shared" si="173"/>
        <v>-1316.552</v>
      </c>
      <c r="M360" s="69"/>
      <c r="N360" s="41"/>
      <c r="O360" s="22"/>
      <c r="P360" s="22"/>
    </row>
    <row r="361" spans="2:16" ht="12.75">
      <c r="B361" s="15"/>
      <c r="C361" s="16"/>
      <c r="D361" s="38"/>
      <c r="E361" s="63">
        <f t="shared" si="174"/>
        <v>346</v>
      </c>
      <c r="F361" s="108">
        <f t="shared" si="175"/>
        <v>53175</v>
      </c>
      <c r="G361" s="64">
        <f t="shared" si="168"/>
        <v>0.03</v>
      </c>
      <c r="H361" s="68">
        <f t="shared" si="169"/>
        <v>20147.8912</v>
      </c>
      <c r="I361" s="68">
        <f t="shared" si="170"/>
        <v>20147.8963</v>
      </c>
      <c r="J361" s="68">
        <f t="shared" si="171"/>
        <v>-1370.2131</v>
      </c>
      <c r="K361" s="68">
        <f t="shared" si="172"/>
        <v>-50.3697</v>
      </c>
      <c r="L361" s="68">
        <f t="shared" si="173"/>
        <v>-1319.8434</v>
      </c>
      <c r="M361" s="69"/>
      <c r="N361" s="41"/>
      <c r="O361" s="22"/>
      <c r="P361" s="22"/>
    </row>
    <row r="362" spans="2:16" ht="12.75">
      <c r="B362" s="15"/>
      <c r="C362" s="16"/>
      <c r="D362" s="38"/>
      <c r="E362" s="63">
        <f t="shared" si="174"/>
        <v>347</v>
      </c>
      <c r="F362" s="108">
        <f t="shared" si="175"/>
        <v>53206</v>
      </c>
      <c r="G362" s="64">
        <f t="shared" si="168"/>
        <v>0.03</v>
      </c>
      <c r="H362" s="68">
        <f t="shared" si="169"/>
        <v>18828.047799999997</v>
      </c>
      <c r="I362" s="68">
        <f t="shared" si="170"/>
        <v>18828.0529</v>
      </c>
      <c r="J362" s="68">
        <f t="shared" si="171"/>
        <v>-1370.2131</v>
      </c>
      <c r="K362" s="68">
        <f t="shared" si="172"/>
        <v>-47.0701</v>
      </c>
      <c r="L362" s="68">
        <f t="shared" si="173"/>
        <v>-1323.143</v>
      </c>
      <c r="M362" s="69"/>
      <c r="N362" s="41"/>
      <c r="O362" s="22"/>
      <c r="P362" s="22"/>
    </row>
    <row r="363" spans="2:16" ht="12.75">
      <c r="B363" s="15"/>
      <c r="C363" s="16"/>
      <c r="D363" s="38"/>
      <c r="E363" s="63">
        <f t="shared" si="174"/>
        <v>348</v>
      </c>
      <c r="F363" s="108">
        <f t="shared" si="175"/>
        <v>53236</v>
      </c>
      <c r="G363" s="64">
        <f t="shared" si="168"/>
        <v>0.03</v>
      </c>
      <c r="H363" s="68">
        <f t="shared" si="169"/>
        <v>17504.904799999997</v>
      </c>
      <c r="I363" s="68">
        <f t="shared" si="170"/>
        <v>17504.9099</v>
      </c>
      <c r="J363" s="68">
        <f t="shared" si="171"/>
        <v>-1370.2131</v>
      </c>
      <c r="K363" s="68">
        <f t="shared" si="172"/>
        <v>-43.7623</v>
      </c>
      <c r="L363" s="68">
        <f t="shared" si="173"/>
        <v>-1326.4508</v>
      </c>
      <c r="M363" s="69"/>
      <c r="N363" s="41"/>
      <c r="O363" s="22"/>
      <c r="P363" s="22"/>
    </row>
    <row r="364" spans="2:16" ht="12.75">
      <c r="B364" s="15"/>
      <c r="C364" s="16"/>
      <c r="D364" s="38"/>
      <c r="E364" s="63">
        <f t="shared" si="174"/>
        <v>349</v>
      </c>
      <c r="F364" s="108">
        <f t="shared" si="175"/>
        <v>53267</v>
      </c>
      <c r="G364" s="64">
        <f t="shared" si="168"/>
        <v>0.03</v>
      </c>
      <c r="H364" s="68">
        <f t="shared" si="169"/>
        <v>16178.453999999996</v>
      </c>
      <c r="I364" s="68">
        <f t="shared" si="170"/>
        <v>16178.4591</v>
      </c>
      <c r="J364" s="68">
        <f t="shared" si="171"/>
        <v>-1370.2131</v>
      </c>
      <c r="K364" s="68">
        <f t="shared" si="172"/>
        <v>-40.4461</v>
      </c>
      <c r="L364" s="68">
        <f t="shared" si="173"/>
        <v>-1329.767</v>
      </c>
      <c r="M364" s="69"/>
      <c r="N364" s="41"/>
      <c r="O364" s="22"/>
      <c r="P364" s="22"/>
    </row>
    <row r="365" spans="2:16" ht="12.75">
      <c r="B365" s="15"/>
      <c r="C365" s="16"/>
      <c r="D365" s="38"/>
      <c r="E365" s="63">
        <f t="shared" si="174"/>
        <v>350</v>
      </c>
      <c r="F365" s="108">
        <f t="shared" si="175"/>
        <v>53297</v>
      </c>
      <c r="G365" s="64">
        <f t="shared" si="168"/>
        <v>0.03</v>
      </c>
      <c r="H365" s="68">
        <f t="shared" si="169"/>
        <v>14848.686999999996</v>
      </c>
      <c r="I365" s="68">
        <f t="shared" si="170"/>
        <v>14848.6921</v>
      </c>
      <c r="J365" s="68">
        <f t="shared" si="171"/>
        <v>-1370.2131</v>
      </c>
      <c r="K365" s="68">
        <f t="shared" si="172"/>
        <v>-37.1217</v>
      </c>
      <c r="L365" s="68">
        <f t="shared" si="173"/>
        <v>-1333.0914</v>
      </c>
      <c r="M365" s="69"/>
      <c r="N365" s="41"/>
      <c r="O365" s="22"/>
      <c r="P365" s="22"/>
    </row>
    <row r="366" spans="2:16" ht="12.75">
      <c r="B366" s="15"/>
      <c r="C366" s="16"/>
      <c r="D366" s="38"/>
      <c r="E366" s="63">
        <f t="shared" si="174"/>
        <v>351</v>
      </c>
      <c r="F366" s="108">
        <f t="shared" si="175"/>
        <v>53328</v>
      </c>
      <c r="G366" s="64">
        <f t="shared" si="168"/>
        <v>0.03</v>
      </c>
      <c r="H366" s="68">
        <f t="shared" si="169"/>
        <v>13515.595599999997</v>
      </c>
      <c r="I366" s="68">
        <f t="shared" si="170"/>
        <v>13515.6007</v>
      </c>
      <c r="J366" s="68">
        <f t="shared" si="171"/>
        <v>-1370.2131</v>
      </c>
      <c r="K366" s="68">
        <f t="shared" si="172"/>
        <v>-33.789</v>
      </c>
      <c r="L366" s="68">
        <f t="shared" si="173"/>
        <v>-1336.4241</v>
      </c>
      <c r="M366" s="69"/>
      <c r="N366" s="41"/>
      <c r="O366" s="22"/>
      <c r="P366" s="22"/>
    </row>
    <row r="367" spans="2:16" ht="12.75">
      <c r="B367" s="15"/>
      <c r="C367" s="16"/>
      <c r="D367" s="38"/>
      <c r="E367" s="63">
        <f t="shared" si="174"/>
        <v>352</v>
      </c>
      <c r="F367" s="108">
        <f t="shared" si="175"/>
        <v>53359</v>
      </c>
      <c r="G367" s="64">
        <f aca="true" t="shared" si="176" ref="G367:G375">IF(E367&lt;=data6*$C$12,G366,"")</f>
        <v>0.03</v>
      </c>
      <c r="H367" s="68">
        <f aca="true" t="shared" si="177" ref="H367:H375">IF(OR($C$12&lt;0.05,I367&lt;0.05,PERYR&lt;0.05),0,H366+ROUND(PPMT(G366/PERYR,1,$C$11-E366+1,H366),4))</f>
        <v>12179.171499999997</v>
      </c>
      <c r="I367" s="68">
        <f aca="true" t="shared" si="178" ref="I367:I375">IF(H366&gt;0.05,ROUND(I366+L366+M366,4),0)</f>
        <v>12179.1766</v>
      </c>
      <c r="J367" s="68">
        <f aca="true" t="shared" si="179" ref="J367:J375">IF(OR($C$12&lt;0.05,I367&lt;0.05,PERYR&lt;0.05,H367&lt;0.05),0,(ROUND(IF(J366+I367&lt;0,-I367+K367,IF($C$10=0,PMT(G367/PERYR,$C$11-E366,H367),-$C$13)),4)))</f>
        <v>-1370.2131</v>
      </c>
      <c r="K367" s="68">
        <f aca="true" t="shared" si="180" ref="K367:K375">IF(OR($C$12&lt;0.05,I367&lt;0.05,PERYR&lt;0.05,H367&lt;0.05),0,(ROUND(IPMT(G367/PERYR,1,$C$11-E366,I367),4)))</f>
        <v>-30.4479</v>
      </c>
      <c r="L367" s="68">
        <f aca="true" t="shared" si="181" ref="L367:L375">-ROUND(MIN(I367,K367-J367),4)</f>
        <v>-1339.7652</v>
      </c>
      <c r="M367" s="69"/>
      <c r="N367" s="41"/>
      <c r="O367" s="22"/>
      <c r="P367" s="22"/>
    </row>
    <row r="368" spans="2:16" ht="12.75">
      <c r="B368" s="15"/>
      <c r="C368" s="16"/>
      <c r="D368" s="38"/>
      <c r="E368" s="63">
        <f t="shared" si="174"/>
        <v>353</v>
      </c>
      <c r="F368" s="108">
        <f t="shared" si="175"/>
        <v>53387</v>
      </c>
      <c r="G368" s="64">
        <f t="shared" si="176"/>
        <v>0.03</v>
      </c>
      <c r="H368" s="68">
        <f t="shared" si="177"/>
        <v>10839.406299999997</v>
      </c>
      <c r="I368" s="68">
        <f t="shared" si="178"/>
        <v>10839.4114</v>
      </c>
      <c r="J368" s="68">
        <f t="shared" si="179"/>
        <v>-1370.2131</v>
      </c>
      <c r="K368" s="68">
        <f t="shared" si="180"/>
        <v>-27.0985</v>
      </c>
      <c r="L368" s="68">
        <f t="shared" si="181"/>
        <v>-1343.1146</v>
      </c>
      <c r="M368" s="69"/>
      <c r="N368" s="41"/>
      <c r="O368" s="22"/>
      <c r="P368" s="22"/>
    </row>
    <row r="369" spans="2:16" ht="12.75">
      <c r="B369" s="15"/>
      <c r="C369" s="16"/>
      <c r="D369" s="38"/>
      <c r="E369" s="63">
        <f aca="true" t="shared" si="182" ref="E369:E375">1+E368</f>
        <v>354</v>
      </c>
      <c r="F369" s="108">
        <f t="shared" si="175"/>
        <v>53418</v>
      </c>
      <c r="G369" s="64">
        <f t="shared" si="176"/>
        <v>0.03</v>
      </c>
      <c r="H369" s="68">
        <f t="shared" si="177"/>
        <v>9496.291699999996</v>
      </c>
      <c r="I369" s="68">
        <f t="shared" si="178"/>
        <v>9496.2968</v>
      </c>
      <c r="J369" s="68">
        <f t="shared" si="179"/>
        <v>-1370.2131</v>
      </c>
      <c r="K369" s="68">
        <f t="shared" si="180"/>
        <v>-23.7407</v>
      </c>
      <c r="L369" s="68">
        <f t="shared" si="181"/>
        <v>-1346.4724</v>
      </c>
      <c r="M369" s="69"/>
      <c r="N369" s="41"/>
      <c r="O369" s="22"/>
      <c r="P369" s="22"/>
    </row>
    <row r="370" spans="2:16" ht="12.75">
      <c r="B370" s="15"/>
      <c r="C370" s="16"/>
      <c r="D370" s="38"/>
      <c r="E370" s="63">
        <f t="shared" si="182"/>
        <v>355</v>
      </c>
      <c r="F370" s="108">
        <f t="shared" si="175"/>
        <v>53448</v>
      </c>
      <c r="G370" s="64">
        <f t="shared" si="176"/>
        <v>0.03</v>
      </c>
      <c r="H370" s="68">
        <f t="shared" si="177"/>
        <v>8149.819299999996</v>
      </c>
      <c r="I370" s="68">
        <f t="shared" si="178"/>
        <v>8149.8244</v>
      </c>
      <c r="J370" s="68">
        <f t="shared" si="179"/>
        <v>-1370.2131</v>
      </c>
      <c r="K370" s="68">
        <f t="shared" si="180"/>
        <v>-20.3746</v>
      </c>
      <c r="L370" s="68">
        <f t="shared" si="181"/>
        <v>-1349.8385</v>
      </c>
      <c r="M370" s="69"/>
      <c r="N370" s="41"/>
      <c r="O370" s="22"/>
      <c r="P370" s="22"/>
    </row>
    <row r="371" spans="2:16" ht="12.75">
      <c r="B371" s="15"/>
      <c r="C371" s="16"/>
      <c r="D371" s="38"/>
      <c r="E371" s="63">
        <f t="shared" si="182"/>
        <v>356</v>
      </c>
      <c r="F371" s="108">
        <f>IF(H371&gt;0.01,DATE(YEAR($F$16),MONTH($F$16)+(E371-1)*12/PERYR,DAY($F$16)),"")</f>
        <v>53479</v>
      </c>
      <c r="G371" s="64">
        <f t="shared" si="176"/>
        <v>0.03</v>
      </c>
      <c r="H371" s="68">
        <f t="shared" si="177"/>
        <v>6799.9806999999955</v>
      </c>
      <c r="I371" s="68">
        <f t="shared" si="178"/>
        <v>6799.9859</v>
      </c>
      <c r="J371" s="68">
        <f t="shared" si="179"/>
        <v>-1370.2131</v>
      </c>
      <c r="K371" s="68">
        <f t="shared" si="180"/>
        <v>-17</v>
      </c>
      <c r="L371" s="68">
        <f t="shared" si="181"/>
        <v>-1353.2131</v>
      </c>
      <c r="M371" s="69"/>
      <c r="N371" s="41"/>
      <c r="O371" s="22"/>
      <c r="P371" s="22"/>
    </row>
    <row r="372" spans="2:16" ht="12.75">
      <c r="B372" s="15"/>
      <c r="C372" s="16"/>
      <c r="D372" s="38"/>
      <c r="E372" s="63">
        <f t="shared" si="182"/>
        <v>357</v>
      </c>
      <c r="F372" s="108">
        <f>IF(H372&gt;0.01,DATE(YEAR($F$16),MONTH($F$16)+(E372-1)*12/PERYR,DAY($F$16)),"")</f>
        <v>53509</v>
      </c>
      <c r="G372" s="64">
        <f t="shared" si="176"/>
        <v>0.03</v>
      </c>
      <c r="H372" s="68">
        <f t="shared" si="177"/>
        <v>5446.767599999996</v>
      </c>
      <c r="I372" s="68">
        <f t="shared" si="178"/>
        <v>5446.7728</v>
      </c>
      <c r="J372" s="68">
        <f t="shared" si="179"/>
        <v>-1370.2131</v>
      </c>
      <c r="K372" s="68">
        <f t="shared" si="180"/>
        <v>-13.6169</v>
      </c>
      <c r="L372" s="68">
        <f t="shared" si="181"/>
        <v>-1356.5962</v>
      </c>
      <c r="M372" s="69"/>
      <c r="N372" s="41"/>
      <c r="O372" s="22"/>
      <c r="P372" s="22"/>
    </row>
    <row r="373" spans="2:16" ht="12.75">
      <c r="B373" s="15"/>
      <c r="C373" s="16"/>
      <c r="D373" s="38"/>
      <c r="E373" s="63">
        <f t="shared" si="182"/>
        <v>358</v>
      </c>
      <c r="F373" s="108">
        <f>IF(H373&gt;0.01,DATE(YEAR($F$16),MONTH($F$16)+(E373-1)*12/PERYR,DAY($F$16)),"")</f>
        <v>53540</v>
      </c>
      <c r="G373" s="64">
        <f t="shared" si="176"/>
        <v>0.03</v>
      </c>
      <c r="H373" s="68">
        <f t="shared" si="177"/>
        <v>4090.1713999999956</v>
      </c>
      <c r="I373" s="68">
        <f t="shared" si="178"/>
        <v>4090.1766</v>
      </c>
      <c r="J373" s="68">
        <f t="shared" si="179"/>
        <v>-1370.2131</v>
      </c>
      <c r="K373" s="68">
        <f t="shared" si="180"/>
        <v>-10.2254</v>
      </c>
      <c r="L373" s="68">
        <f t="shared" si="181"/>
        <v>-1359.9877</v>
      </c>
      <c r="M373" s="69"/>
      <c r="N373" s="41"/>
      <c r="O373" s="22"/>
      <c r="P373" s="22"/>
    </row>
    <row r="374" spans="2:16" ht="12.75">
      <c r="B374" s="15"/>
      <c r="C374" s="16"/>
      <c r="D374" s="38"/>
      <c r="E374" s="63">
        <f t="shared" si="182"/>
        <v>359</v>
      </c>
      <c r="F374" s="108">
        <f>IF(H374&gt;0.01,DATE(YEAR($F$16),MONTH($F$16)+(E374-1)*12/PERYR,DAY($F$16)),"")</f>
        <v>53571</v>
      </c>
      <c r="G374" s="64">
        <f t="shared" si="176"/>
        <v>0.03</v>
      </c>
      <c r="H374" s="68">
        <f t="shared" si="177"/>
        <v>2730.183699999996</v>
      </c>
      <c r="I374" s="68">
        <f t="shared" si="178"/>
        <v>2730.1889</v>
      </c>
      <c r="J374" s="68">
        <f t="shared" si="179"/>
        <v>-1370.2131</v>
      </c>
      <c r="K374" s="68">
        <f t="shared" si="180"/>
        <v>-6.8255</v>
      </c>
      <c r="L374" s="68">
        <f t="shared" si="181"/>
        <v>-1363.3876</v>
      </c>
      <c r="M374" s="69"/>
      <c r="N374" s="41"/>
      <c r="O374" s="22"/>
      <c r="P374" s="22"/>
    </row>
    <row r="375" spans="2:16" ht="12.75">
      <c r="B375" s="15"/>
      <c r="C375" s="16"/>
      <c r="D375" s="38"/>
      <c r="E375" s="63">
        <f t="shared" si="182"/>
        <v>360</v>
      </c>
      <c r="F375" s="108">
        <f>IF(H375&gt;0.01,DATE(YEAR($F$16),MONTH($F$16)+(E375-1)*12/PERYR,DAY($F$16)),"")</f>
        <v>53601</v>
      </c>
      <c r="G375" s="64">
        <f t="shared" si="176"/>
        <v>0.03</v>
      </c>
      <c r="H375" s="68">
        <f t="shared" si="177"/>
        <v>1366.796099999996</v>
      </c>
      <c r="I375" s="68">
        <f t="shared" si="178"/>
        <v>1366.8013</v>
      </c>
      <c r="J375" s="68">
        <f t="shared" si="179"/>
        <v>-1370.2183</v>
      </c>
      <c r="K375" s="68">
        <f t="shared" si="180"/>
        <v>-3.417</v>
      </c>
      <c r="L375" s="68">
        <f t="shared" si="181"/>
        <v>-1366.8013</v>
      </c>
      <c r="M375" s="69"/>
      <c r="N375" s="41"/>
      <c r="O375" s="22"/>
      <c r="P375" s="22"/>
    </row>
  </sheetData>
  <sheetProtection/>
  <printOptions horizontalCentered="1"/>
  <pageMargins left="0.75" right="0.75" top="0.5" bottom="0.5" header="0.5" footer="0.5"/>
  <pageSetup blackAndWhite="1" fitToHeight="0" fitToWidth="1" horizontalDpi="300" verticalDpi="300" orientation="portrait"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B2:P39"/>
  <sheetViews>
    <sheetView showGridLines="0" showRowColHeaders="0" defaultGridColor="0" zoomScale="90" zoomScaleNormal="90" zoomScalePageLayoutView="0" colorId="15" workbookViewId="0" topLeftCell="A1">
      <selection activeCell="A1" sqref="A1"/>
    </sheetView>
  </sheetViews>
  <sheetFormatPr defaultColWidth="9.140625" defaultRowHeight="12.75"/>
  <cols>
    <col min="1" max="1" width="1.28515625" style="0" customWidth="1"/>
    <col min="2" max="2" width="0.42578125" style="0" customWidth="1"/>
    <col min="3" max="3" width="3.7109375" style="0" customWidth="1"/>
    <col min="15" max="15" width="3.7109375" style="0" customWidth="1"/>
    <col min="16" max="16" width="0.42578125" style="0" customWidth="1"/>
  </cols>
  <sheetData>
    <row r="1" ht="13.5" thickBot="1"/>
    <row r="2" spans="2:16" ht="0.75" customHeight="1" thickTop="1">
      <c r="B2" s="12"/>
      <c r="C2" s="13"/>
      <c r="D2" s="13"/>
      <c r="E2" s="13"/>
      <c r="F2" s="13"/>
      <c r="G2" s="13"/>
      <c r="H2" s="13"/>
      <c r="I2" s="13"/>
      <c r="J2" s="13"/>
      <c r="K2" s="13"/>
      <c r="L2" s="13"/>
      <c r="M2" s="13"/>
      <c r="N2" s="13"/>
      <c r="O2" s="13"/>
      <c r="P2" s="14"/>
    </row>
    <row r="3" spans="2:16" ht="12.75">
      <c r="B3" s="15"/>
      <c r="C3" s="16"/>
      <c r="D3" s="16"/>
      <c r="E3" s="16"/>
      <c r="F3" s="16"/>
      <c r="G3" s="16"/>
      <c r="H3" s="16"/>
      <c r="I3" s="16"/>
      <c r="J3" s="16"/>
      <c r="K3" s="16"/>
      <c r="L3" s="16"/>
      <c r="M3" s="16"/>
      <c r="N3" s="16"/>
      <c r="O3" s="16"/>
      <c r="P3" s="17"/>
    </row>
    <row r="4" spans="2:16" ht="12.75">
      <c r="B4" s="15"/>
      <c r="C4" s="16"/>
      <c r="D4" s="16"/>
      <c r="E4" s="16"/>
      <c r="F4" s="16"/>
      <c r="G4" s="16"/>
      <c r="H4" s="16"/>
      <c r="I4" s="16"/>
      <c r="J4" s="16"/>
      <c r="K4" s="16"/>
      <c r="L4" s="16"/>
      <c r="M4" s="16"/>
      <c r="N4" s="16"/>
      <c r="O4" s="16"/>
      <c r="P4" s="17"/>
    </row>
    <row r="5" spans="2:16" ht="12.75">
      <c r="B5" s="15"/>
      <c r="C5" s="16"/>
      <c r="D5" s="16"/>
      <c r="E5" s="16"/>
      <c r="F5" s="16"/>
      <c r="G5" s="16"/>
      <c r="H5" s="16"/>
      <c r="I5" s="16"/>
      <c r="J5" s="16"/>
      <c r="K5" s="16"/>
      <c r="L5" s="16"/>
      <c r="M5" s="16"/>
      <c r="N5" s="16"/>
      <c r="O5" s="16"/>
      <c r="P5" s="17"/>
    </row>
    <row r="6" spans="2:16" ht="12.75">
      <c r="B6" s="15"/>
      <c r="C6" s="16"/>
      <c r="D6" s="16"/>
      <c r="E6" s="16"/>
      <c r="F6" s="16"/>
      <c r="G6" s="16"/>
      <c r="H6" s="16"/>
      <c r="I6" s="16"/>
      <c r="J6" s="16"/>
      <c r="K6" s="16"/>
      <c r="L6" s="16"/>
      <c r="M6" s="16"/>
      <c r="N6" s="16"/>
      <c r="O6" s="16"/>
      <c r="P6" s="17"/>
    </row>
    <row r="7" spans="2:16" ht="12.75">
      <c r="B7" s="15"/>
      <c r="C7" s="16"/>
      <c r="D7" s="16"/>
      <c r="E7" s="16"/>
      <c r="F7" s="16"/>
      <c r="G7" s="16"/>
      <c r="H7" s="16"/>
      <c r="I7" s="16"/>
      <c r="J7" s="16"/>
      <c r="K7" s="16"/>
      <c r="L7" s="16"/>
      <c r="M7" s="16"/>
      <c r="N7" s="16"/>
      <c r="O7" s="16"/>
      <c r="P7" s="17"/>
    </row>
    <row r="8" spans="2:16" ht="13.5" thickBot="1">
      <c r="B8" s="15"/>
      <c r="C8" s="16"/>
      <c r="D8" s="16"/>
      <c r="E8" s="16"/>
      <c r="F8" s="16"/>
      <c r="G8" s="16"/>
      <c r="H8" s="16"/>
      <c r="I8" s="16"/>
      <c r="J8" s="16"/>
      <c r="K8" s="16"/>
      <c r="L8" s="16"/>
      <c r="M8" s="16"/>
      <c r="N8" s="16"/>
      <c r="O8" s="16"/>
      <c r="P8" s="17"/>
    </row>
    <row r="9" spans="2:16" ht="3" customHeight="1" thickTop="1">
      <c r="B9" s="15"/>
      <c r="C9" s="16"/>
      <c r="D9" s="50"/>
      <c r="E9" s="50"/>
      <c r="F9" s="50"/>
      <c r="G9" s="50"/>
      <c r="H9" s="50"/>
      <c r="I9" s="50"/>
      <c r="J9" s="50"/>
      <c r="K9" s="50"/>
      <c r="L9" s="50"/>
      <c r="M9" s="50"/>
      <c r="N9" s="50"/>
      <c r="O9" s="2"/>
      <c r="P9" s="17"/>
    </row>
    <row r="10" spans="2:16" ht="12.75">
      <c r="B10" s="15"/>
      <c r="C10" s="16"/>
      <c r="D10" s="16"/>
      <c r="E10" s="16"/>
      <c r="F10" s="16"/>
      <c r="G10" s="16"/>
      <c r="H10" s="16"/>
      <c r="I10" s="16"/>
      <c r="J10" s="16"/>
      <c r="K10" s="16"/>
      <c r="L10" s="16"/>
      <c r="M10" s="16"/>
      <c r="N10" s="16"/>
      <c r="O10" s="16"/>
      <c r="P10" s="17"/>
    </row>
    <row r="11" spans="2:16" ht="12.75">
      <c r="B11" s="15"/>
      <c r="C11" s="16"/>
      <c r="D11" s="16"/>
      <c r="E11" s="16"/>
      <c r="F11" s="16"/>
      <c r="G11" s="16"/>
      <c r="H11" s="16"/>
      <c r="I11" s="16"/>
      <c r="J11" s="16"/>
      <c r="K11" s="16"/>
      <c r="L11" s="16"/>
      <c r="M11" s="16"/>
      <c r="N11" s="16"/>
      <c r="O11" s="16"/>
      <c r="P11" s="17"/>
    </row>
    <row r="12" spans="2:16" ht="12.75">
      <c r="B12" s="15"/>
      <c r="C12" s="16"/>
      <c r="D12" s="16"/>
      <c r="E12" s="16"/>
      <c r="F12" s="16"/>
      <c r="G12" s="16"/>
      <c r="H12" s="16"/>
      <c r="I12" s="16"/>
      <c r="J12" s="16"/>
      <c r="K12" s="16"/>
      <c r="L12" s="16"/>
      <c r="M12" s="16"/>
      <c r="N12" s="16"/>
      <c r="O12" s="16"/>
      <c r="P12" s="17"/>
    </row>
    <row r="13" spans="2:16" ht="12.75">
      <c r="B13" s="15"/>
      <c r="C13" s="16"/>
      <c r="D13" s="16"/>
      <c r="E13" s="16"/>
      <c r="F13" s="16"/>
      <c r="G13" s="16"/>
      <c r="H13" s="16"/>
      <c r="I13" s="16"/>
      <c r="J13" s="16"/>
      <c r="K13" s="16"/>
      <c r="L13" s="16"/>
      <c r="M13" s="16"/>
      <c r="N13" s="16"/>
      <c r="O13" s="16"/>
      <c r="P13" s="17"/>
    </row>
    <row r="14" spans="2:16" ht="12.75">
      <c r="B14" s="15"/>
      <c r="C14" s="16"/>
      <c r="D14" s="16"/>
      <c r="E14" s="16"/>
      <c r="F14" s="16"/>
      <c r="G14" s="16"/>
      <c r="H14" s="16"/>
      <c r="I14" s="16"/>
      <c r="J14" s="16"/>
      <c r="K14" s="16"/>
      <c r="L14" s="16"/>
      <c r="M14" s="16"/>
      <c r="N14" s="16"/>
      <c r="O14" s="16"/>
      <c r="P14" s="17"/>
    </row>
    <row r="15" spans="2:16" ht="12.75">
      <c r="B15" s="15"/>
      <c r="C15" s="16"/>
      <c r="D15" s="16"/>
      <c r="E15" s="16"/>
      <c r="F15" s="16"/>
      <c r="G15" s="16"/>
      <c r="H15" s="16"/>
      <c r="I15" s="16"/>
      <c r="J15" s="16"/>
      <c r="K15" s="16"/>
      <c r="L15" s="16"/>
      <c r="M15" s="16"/>
      <c r="N15" s="16"/>
      <c r="O15" s="16"/>
      <c r="P15" s="17"/>
    </row>
    <row r="16" spans="2:16" ht="12.75">
      <c r="B16" s="15"/>
      <c r="C16" s="16"/>
      <c r="D16" s="16"/>
      <c r="E16" s="16"/>
      <c r="F16" s="16"/>
      <c r="G16" s="16"/>
      <c r="H16" s="16"/>
      <c r="I16" s="16"/>
      <c r="J16" s="16"/>
      <c r="K16" s="16"/>
      <c r="L16" s="16"/>
      <c r="M16" s="16"/>
      <c r="N16" s="16"/>
      <c r="O16" s="16"/>
      <c r="P16" s="17"/>
    </row>
    <row r="17" spans="2:16" ht="12.75">
      <c r="B17" s="15"/>
      <c r="C17" s="16"/>
      <c r="D17" s="16"/>
      <c r="E17" s="16"/>
      <c r="F17" s="16"/>
      <c r="G17" s="16"/>
      <c r="H17" s="16"/>
      <c r="I17" s="16"/>
      <c r="J17" s="16"/>
      <c r="K17" s="16"/>
      <c r="L17" s="16"/>
      <c r="M17" s="16"/>
      <c r="N17" s="16"/>
      <c r="O17" s="16"/>
      <c r="P17" s="17"/>
    </row>
    <row r="18" spans="2:16" ht="12.75">
      <c r="B18" s="15"/>
      <c r="C18" s="16"/>
      <c r="D18" s="16"/>
      <c r="E18" s="16"/>
      <c r="F18" s="16"/>
      <c r="G18" s="16"/>
      <c r="H18" s="16"/>
      <c r="I18" s="16"/>
      <c r="J18" s="16"/>
      <c r="K18" s="16"/>
      <c r="L18" s="16"/>
      <c r="M18" s="16"/>
      <c r="N18" s="16"/>
      <c r="O18" s="16"/>
      <c r="P18" s="17"/>
    </row>
    <row r="19" spans="2:16" ht="12.75">
      <c r="B19" s="15"/>
      <c r="C19" s="16"/>
      <c r="D19" s="16"/>
      <c r="E19" s="16"/>
      <c r="F19" s="16"/>
      <c r="G19" s="16"/>
      <c r="H19" s="16"/>
      <c r="I19" s="16"/>
      <c r="J19" s="16"/>
      <c r="K19" s="16"/>
      <c r="L19" s="16"/>
      <c r="M19" s="16"/>
      <c r="N19" s="16"/>
      <c r="O19" s="16"/>
      <c r="P19" s="17"/>
    </row>
    <row r="20" spans="2:16" ht="12.75">
      <c r="B20" s="15"/>
      <c r="C20" s="16"/>
      <c r="D20" s="16"/>
      <c r="E20" s="16"/>
      <c r="F20" s="16"/>
      <c r="G20" s="16"/>
      <c r="H20" s="16"/>
      <c r="I20" s="16"/>
      <c r="J20" s="16"/>
      <c r="K20" s="16"/>
      <c r="L20" s="16"/>
      <c r="M20" s="16"/>
      <c r="N20" s="16"/>
      <c r="O20" s="16"/>
      <c r="P20" s="17"/>
    </row>
    <row r="21" spans="2:16" ht="12.75">
      <c r="B21" s="15"/>
      <c r="C21" s="16"/>
      <c r="D21" s="16"/>
      <c r="E21" s="16"/>
      <c r="F21" s="16"/>
      <c r="G21" s="16"/>
      <c r="H21" s="16"/>
      <c r="I21" s="16"/>
      <c r="J21" s="16"/>
      <c r="K21" s="16"/>
      <c r="L21" s="16"/>
      <c r="M21" s="16"/>
      <c r="N21" s="16"/>
      <c r="O21" s="16"/>
      <c r="P21" s="17"/>
    </row>
    <row r="22" spans="2:16" ht="12.75">
      <c r="B22" s="15"/>
      <c r="C22" s="16"/>
      <c r="D22" s="16"/>
      <c r="E22" s="16"/>
      <c r="F22" s="16"/>
      <c r="G22" s="16"/>
      <c r="H22" s="16"/>
      <c r="I22" s="16"/>
      <c r="J22" s="16"/>
      <c r="K22" s="16"/>
      <c r="L22" s="16"/>
      <c r="M22" s="16"/>
      <c r="N22" s="16"/>
      <c r="O22" s="16"/>
      <c r="P22" s="17"/>
    </row>
    <row r="23" spans="2:16" ht="12.75">
      <c r="B23" s="15"/>
      <c r="C23" s="16"/>
      <c r="D23" s="16"/>
      <c r="E23" s="16"/>
      <c r="F23" s="16"/>
      <c r="G23" s="16"/>
      <c r="H23" s="16"/>
      <c r="I23" s="16"/>
      <c r="J23" s="16"/>
      <c r="K23" s="16"/>
      <c r="L23" s="16"/>
      <c r="M23" s="16"/>
      <c r="N23" s="16"/>
      <c r="O23" s="16"/>
      <c r="P23" s="17"/>
    </row>
    <row r="24" spans="2:16" ht="12.75">
      <c r="B24" s="15"/>
      <c r="C24" s="16"/>
      <c r="D24" s="16"/>
      <c r="E24" s="16"/>
      <c r="F24" s="16"/>
      <c r="G24" s="16"/>
      <c r="H24" s="16"/>
      <c r="I24" s="16"/>
      <c r="J24" s="16"/>
      <c r="K24" s="16"/>
      <c r="L24" s="16"/>
      <c r="M24" s="16"/>
      <c r="N24" s="16"/>
      <c r="O24" s="16"/>
      <c r="P24" s="17"/>
    </row>
    <row r="25" spans="2:16" ht="12.75">
      <c r="B25" s="15"/>
      <c r="C25" s="16"/>
      <c r="D25" s="16"/>
      <c r="E25" s="16"/>
      <c r="F25" s="16"/>
      <c r="G25" s="16"/>
      <c r="H25" s="16"/>
      <c r="I25" s="16"/>
      <c r="J25" s="16"/>
      <c r="K25" s="16"/>
      <c r="L25" s="16"/>
      <c r="M25" s="16"/>
      <c r="N25" s="16"/>
      <c r="O25" s="16"/>
      <c r="P25" s="17"/>
    </row>
    <row r="26" spans="2:16" ht="12.75">
      <c r="B26" s="15"/>
      <c r="C26" s="16"/>
      <c r="D26" s="16"/>
      <c r="E26" s="16"/>
      <c r="F26" s="16"/>
      <c r="G26" s="16"/>
      <c r="H26" s="16"/>
      <c r="I26" s="16"/>
      <c r="J26" s="16"/>
      <c r="K26" s="16"/>
      <c r="L26" s="16"/>
      <c r="M26" s="16"/>
      <c r="N26" s="16"/>
      <c r="O26" s="16"/>
      <c r="P26" s="17"/>
    </row>
    <row r="27" spans="2:16" ht="12.75">
      <c r="B27" s="15"/>
      <c r="C27" s="16"/>
      <c r="D27" s="16"/>
      <c r="E27" s="16"/>
      <c r="F27" s="16"/>
      <c r="G27" s="16"/>
      <c r="H27" s="16"/>
      <c r="I27" s="16"/>
      <c r="J27" s="16"/>
      <c r="K27" s="16"/>
      <c r="L27" s="16"/>
      <c r="M27" s="16"/>
      <c r="N27" s="16"/>
      <c r="O27" s="16"/>
      <c r="P27" s="17"/>
    </row>
    <row r="28" spans="2:16" ht="12.75">
      <c r="B28" s="15"/>
      <c r="C28" s="16"/>
      <c r="D28" s="16"/>
      <c r="E28" s="16"/>
      <c r="F28" s="16"/>
      <c r="G28" s="16"/>
      <c r="H28" s="16"/>
      <c r="I28" s="16"/>
      <c r="J28" s="16"/>
      <c r="K28" s="16"/>
      <c r="L28" s="16"/>
      <c r="M28" s="16"/>
      <c r="N28" s="16"/>
      <c r="O28" s="16"/>
      <c r="P28" s="17"/>
    </row>
    <row r="29" spans="2:16" ht="12.75">
      <c r="B29" s="15"/>
      <c r="C29" s="16"/>
      <c r="D29" s="16"/>
      <c r="E29" s="16"/>
      <c r="F29" s="16"/>
      <c r="G29" s="16"/>
      <c r="H29" s="16"/>
      <c r="I29" s="16"/>
      <c r="J29" s="16"/>
      <c r="K29" s="16"/>
      <c r="L29" s="16"/>
      <c r="M29" s="16"/>
      <c r="N29" s="16"/>
      <c r="O29" s="16"/>
      <c r="P29" s="17"/>
    </row>
    <row r="30" spans="2:16" ht="12.75">
      <c r="B30" s="15"/>
      <c r="C30" s="16"/>
      <c r="D30" s="16"/>
      <c r="E30" s="16"/>
      <c r="F30" s="16"/>
      <c r="G30" s="16"/>
      <c r="H30" s="16"/>
      <c r="I30" s="16"/>
      <c r="J30" s="16"/>
      <c r="K30" s="16"/>
      <c r="L30" s="16"/>
      <c r="M30" s="16"/>
      <c r="N30" s="16"/>
      <c r="O30" s="16"/>
      <c r="P30" s="17"/>
    </row>
    <row r="31" spans="2:16" ht="12.75">
      <c r="B31" s="15"/>
      <c r="C31" s="16"/>
      <c r="D31" s="16"/>
      <c r="E31" s="16"/>
      <c r="F31" s="16"/>
      <c r="G31" s="16"/>
      <c r="H31" s="16"/>
      <c r="I31" s="16"/>
      <c r="J31" s="16"/>
      <c r="K31" s="16"/>
      <c r="L31" s="16"/>
      <c r="M31" s="16"/>
      <c r="N31" s="16"/>
      <c r="O31" s="16"/>
      <c r="P31" s="17"/>
    </row>
    <row r="32" spans="2:16" ht="12.75">
      <c r="B32" s="15"/>
      <c r="C32" s="16"/>
      <c r="D32" s="16"/>
      <c r="E32" s="16"/>
      <c r="F32" s="16"/>
      <c r="G32" s="16"/>
      <c r="H32" s="16"/>
      <c r="I32" s="16"/>
      <c r="J32" s="16"/>
      <c r="K32" s="16"/>
      <c r="L32" s="16"/>
      <c r="M32" s="16"/>
      <c r="N32" s="16"/>
      <c r="O32" s="16"/>
      <c r="P32" s="17"/>
    </row>
    <row r="33" spans="2:16" ht="13.5" thickBot="1">
      <c r="B33" s="15"/>
      <c r="C33" s="16"/>
      <c r="D33" s="16"/>
      <c r="E33" s="16"/>
      <c r="F33" s="16"/>
      <c r="G33" s="16"/>
      <c r="H33" s="16"/>
      <c r="I33" s="16"/>
      <c r="J33" s="16"/>
      <c r="K33" s="16"/>
      <c r="L33" s="16"/>
      <c r="M33" s="16"/>
      <c r="N33" s="16"/>
      <c r="O33" s="16"/>
      <c r="P33" s="17"/>
    </row>
    <row r="34" spans="2:16" ht="3" customHeight="1" thickTop="1">
      <c r="B34" s="15"/>
      <c r="C34" s="16"/>
      <c r="D34" s="50"/>
      <c r="E34" s="50"/>
      <c r="F34" s="50"/>
      <c r="G34" s="50"/>
      <c r="H34" s="50"/>
      <c r="I34" s="50"/>
      <c r="J34" s="50"/>
      <c r="K34" s="50"/>
      <c r="L34" s="50"/>
      <c r="M34" s="50"/>
      <c r="N34" s="50"/>
      <c r="O34" s="2"/>
      <c r="P34" s="17"/>
    </row>
    <row r="35" spans="2:16" ht="12.75">
      <c r="B35" s="15"/>
      <c r="C35" s="16"/>
      <c r="D35" s="16"/>
      <c r="E35" s="16"/>
      <c r="F35" s="16"/>
      <c r="G35" s="16"/>
      <c r="H35" s="16"/>
      <c r="I35" s="16"/>
      <c r="J35" s="16"/>
      <c r="K35" s="16"/>
      <c r="L35" s="16"/>
      <c r="M35" s="16"/>
      <c r="N35" s="16"/>
      <c r="O35" s="16"/>
      <c r="P35" s="17"/>
    </row>
    <row r="36" spans="2:16" ht="12.75">
      <c r="B36" s="15"/>
      <c r="C36" s="16"/>
      <c r="D36" s="16"/>
      <c r="E36" s="16"/>
      <c r="F36" s="16"/>
      <c r="G36" s="16"/>
      <c r="H36" s="16"/>
      <c r="I36" s="16"/>
      <c r="J36" s="16"/>
      <c r="K36" s="16"/>
      <c r="L36" s="16"/>
      <c r="M36" s="16"/>
      <c r="N36" s="16"/>
      <c r="O36" s="16"/>
      <c r="P36" s="17"/>
    </row>
    <row r="37" spans="2:16" ht="12.75">
      <c r="B37" s="15"/>
      <c r="C37" s="16"/>
      <c r="D37" s="16"/>
      <c r="E37" s="16"/>
      <c r="F37" s="16"/>
      <c r="G37" s="16"/>
      <c r="H37" s="16"/>
      <c r="I37" s="16"/>
      <c r="J37" s="16"/>
      <c r="K37" s="16"/>
      <c r="L37" s="16"/>
      <c r="M37" s="16"/>
      <c r="N37" s="16"/>
      <c r="O37" s="16"/>
      <c r="P37" s="17"/>
    </row>
    <row r="38" spans="2:16" ht="12.75">
      <c r="B38" s="15"/>
      <c r="C38" s="16"/>
      <c r="D38" s="16"/>
      <c r="E38" s="16"/>
      <c r="F38" s="16"/>
      <c r="G38" s="16"/>
      <c r="H38" s="16"/>
      <c r="I38" s="16"/>
      <c r="J38" s="16"/>
      <c r="K38" s="16"/>
      <c r="L38" s="16"/>
      <c r="M38" s="16"/>
      <c r="N38" s="16"/>
      <c r="O38" s="16"/>
      <c r="P38" s="17"/>
    </row>
    <row r="39" spans="2:16" ht="0.75" customHeight="1" thickBot="1">
      <c r="B39" s="18"/>
      <c r="C39" s="19"/>
      <c r="D39" s="19"/>
      <c r="E39" s="19"/>
      <c r="F39" s="19"/>
      <c r="G39" s="19"/>
      <c r="H39" s="19"/>
      <c r="I39" s="19"/>
      <c r="J39" s="19"/>
      <c r="K39" s="19"/>
      <c r="L39" s="19"/>
      <c r="M39" s="19"/>
      <c r="N39" s="19"/>
      <c r="O39" s="19"/>
      <c r="P39" s="20"/>
    </row>
    <row r="40" ht="13.5" thickTop="1"/>
  </sheetData>
  <sheetProtection/>
  <printOptions horizontalCentered="1" verticalCentered="1"/>
  <pageMargins left="0.75" right="0.75" top="0.5" bottom="0.5" header="0.5" footer="0.5"/>
  <pageSetup blackAndWhite="1" fitToHeight="1" fitToWidth="1" orientation="landscape" r:id="rId4"/>
  <drawing r:id="rId3"/>
  <legacyDrawing r:id="rId2"/>
</worksheet>
</file>

<file path=xl/worksheets/sheet5.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9921875" defaultRowHeight="5.25" customHeight="1"/>
  <cols>
    <col min="1" max="16384" width="0.9921875" style="115" customWidth="1"/>
  </cols>
  <sheetData/>
  <sheetProtection sheet="1"/>
  <printOptions/>
  <pageMargins left="0.75" right="0.75" top="1" bottom="1" header="0.5" footer="0.5"/>
  <pageSetup horizontalDpi="360" verticalDpi="360" orientation="portrait" r:id="rId3"/>
  <headerFooter alignWithMargins="0">
    <oddHeader>&amp;C&amp;A</oddHeader>
    <oddFooter>&amp;CPage &amp;P</oddFooter>
  </headerFooter>
  <drawing r:id="rId2"/>
  <legacyDrawing r:id="rId1"/>
</worksheet>
</file>

<file path=xl/worksheets/sheet6.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9921875" defaultRowHeight="5.25" customHeight="1"/>
  <sheetData/>
  <sheetProtection sheet="1"/>
  <printOptions/>
  <pageMargins left="0.75" right="0.75" top="1" bottom="1" header="0.5" footer="0.5"/>
  <pageSetup horizontalDpi="360" verticalDpi="360" orientation="portrait" r:id="rId3"/>
  <headerFooter alignWithMargins="0">
    <oddHeader>&amp;C&amp;A</oddHeader>
    <oddFooter>&amp;CPage &amp;P</oddFooter>
  </headerFooter>
  <drawing r:id="rId2"/>
  <legacyDrawing r:id="rId1"/>
</worksheet>
</file>

<file path=xl/worksheets/sheet7.xml><?xml version="1.0" encoding="utf-8"?>
<worksheet xmlns="http://schemas.openxmlformats.org/spreadsheetml/2006/main" xmlns:r="http://schemas.openxmlformats.org/officeDocument/2006/relationships">
  <dimension ref="A2:AB21"/>
  <sheetViews>
    <sheetView zoomScale="90" zoomScaleNormal="90" zoomScalePageLayoutView="0" workbookViewId="0" topLeftCell="A1">
      <selection activeCell="A10" sqref="A10"/>
    </sheetView>
  </sheetViews>
  <sheetFormatPr defaultColWidth="11.421875" defaultRowHeight="12.75"/>
  <cols>
    <col min="1" max="16384" width="11.421875" style="125" customWidth="1"/>
  </cols>
  <sheetData>
    <row r="2" spans="4:28" ht="12.75">
      <c r="D2" s="125" t="s">
        <v>47</v>
      </c>
      <c r="E2" s="125" t="s">
        <v>48</v>
      </c>
      <c r="F2" s="125" t="s">
        <v>49</v>
      </c>
      <c r="G2" s="125" t="s">
        <v>50</v>
      </c>
      <c r="H2" s="125" t="s">
        <v>51</v>
      </c>
      <c r="I2" s="125" t="s">
        <v>52</v>
      </c>
      <c r="J2" s="125" t="s">
        <v>53</v>
      </c>
      <c r="K2" s="125" t="s">
        <v>54</v>
      </c>
      <c r="L2" s="125" t="s">
        <v>55</v>
      </c>
      <c r="M2" s="125" t="s">
        <v>56</v>
      </c>
      <c r="N2" s="125" t="s">
        <v>57</v>
      </c>
      <c r="O2" s="125" t="s">
        <v>58</v>
      </c>
      <c r="P2" s="125" t="s">
        <v>59</v>
      </c>
      <c r="Q2" s="125" t="s">
        <v>60</v>
      </c>
      <c r="R2" s="125" t="s">
        <v>61</v>
      </c>
      <c r="S2" s="125" t="s">
        <v>62</v>
      </c>
      <c r="T2" s="125" t="s">
        <v>63</v>
      </c>
      <c r="U2" s="125" t="s">
        <v>64</v>
      </c>
      <c r="V2" s="125" t="s">
        <v>65</v>
      </c>
      <c r="W2" s="125" t="s">
        <v>66</v>
      </c>
      <c r="X2" s="125" t="s">
        <v>67</v>
      </c>
      <c r="Y2" s="125" t="s">
        <v>68</v>
      </c>
      <c r="Z2" s="125" t="s">
        <v>69</v>
      </c>
      <c r="AA2" s="125" t="s">
        <v>70</v>
      </c>
      <c r="AB2" s="125" t="s">
        <v>71</v>
      </c>
    </row>
    <row r="3" spans="1:28" ht="12.75">
      <c r="A3" s="125" t="s">
        <v>72</v>
      </c>
      <c r="B3" s="125" t="s">
        <v>73</v>
      </c>
      <c r="C3" s="125" t="s">
        <v>74</v>
      </c>
      <c r="D3" s="125">
        <v>-999</v>
      </c>
      <c r="E3" s="125">
        <v>44</v>
      </c>
      <c r="F3" s="125">
        <v>2</v>
      </c>
      <c r="G3" s="125">
        <v>61</v>
      </c>
      <c r="H3" s="125">
        <v>64</v>
      </c>
      <c r="I3" s="125">
        <v>353</v>
      </c>
      <c r="J3" s="125">
        <v>785</v>
      </c>
      <c r="K3" s="125">
        <v>43</v>
      </c>
      <c r="L3" s="125">
        <v>86</v>
      </c>
      <c r="M3" s="125">
        <v>45</v>
      </c>
      <c r="N3" s="125">
        <v>33</v>
      </c>
      <c r="O3" s="125">
        <v>49</v>
      </c>
      <c r="P3" s="125">
        <v>972</v>
      </c>
      <c r="Q3" s="125">
        <v>39</v>
      </c>
      <c r="R3" s="125">
        <v>81</v>
      </c>
      <c r="S3" s="125">
        <v>82</v>
      </c>
      <c r="T3" s="125">
        <v>352</v>
      </c>
      <c r="U3" s="125">
        <v>31</v>
      </c>
      <c r="V3" s="125">
        <v>47</v>
      </c>
      <c r="W3" s="125">
        <v>27</v>
      </c>
      <c r="X3" s="125">
        <v>34</v>
      </c>
      <c r="Y3" s="125">
        <v>46</v>
      </c>
      <c r="Z3" s="125">
        <v>41</v>
      </c>
      <c r="AA3" s="125">
        <v>886</v>
      </c>
      <c r="AB3" s="125">
        <v>58</v>
      </c>
    </row>
    <row r="4" spans="1:28" ht="12.75">
      <c r="A4" s="125" t="s">
        <v>36</v>
      </c>
      <c r="B4" s="125" t="s">
        <v>75</v>
      </c>
      <c r="C4" s="125">
        <v>2</v>
      </c>
      <c r="D4" s="125" t="s">
        <v>76</v>
      </c>
      <c r="E4" s="125" t="s">
        <v>77</v>
      </c>
      <c r="F4" s="125" t="s">
        <v>76</v>
      </c>
      <c r="G4" s="125" t="s">
        <v>76</v>
      </c>
      <c r="H4" s="125" t="s">
        <v>76</v>
      </c>
      <c r="I4" s="125" t="s">
        <v>78</v>
      </c>
      <c r="J4" s="125" t="s">
        <v>79</v>
      </c>
      <c r="K4" s="125" t="s">
        <v>80</v>
      </c>
      <c r="L4" s="125" t="s">
        <v>79</v>
      </c>
      <c r="M4" s="125" t="s">
        <v>81</v>
      </c>
      <c r="N4" s="125" t="s">
        <v>82</v>
      </c>
      <c r="O4" s="125" t="s">
        <v>83</v>
      </c>
      <c r="P4" s="125" t="s">
        <v>84</v>
      </c>
      <c r="Q4" s="125" t="s">
        <v>85</v>
      </c>
      <c r="R4" s="125" t="s">
        <v>86</v>
      </c>
      <c r="S4" s="125" t="s">
        <v>84</v>
      </c>
      <c r="T4" s="125" t="s">
        <v>82</v>
      </c>
      <c r="U4" s="125" t="s">
        <v>87</v>
      </c>
      <c r="V4" s="125" t="s">
        <v>88</v>
      </c>
      <c r="W4" s="125" t="s">
        <v>89</v>
      </c>
      <c r="X4" s="125" t="s">
        <v>90</v>
      </c>
      <c r="Y4" s="125" t="s">
        <v>91</v>
      </c>
      <c r="Z4" s="125" t="s">
        <v>92</v>
      </c>
      <c r="AA4" s="125" t="s">
        <v>84</v>
      </c>
      <c r="AB4" s="125" t="s">
        <v>93</v>
      </c>
    </row>
    <row r="5" spans="1:28" ht="12.75">
      <c r="A5" s="125" t="s">
        <v>36</v>
      </c>
      <c r="B5" s="125" t="s">
        <v>94</v>
      </c>
      <c r="C5" s="125">
        <v>2</v>
      </c>
      <c r="D5" s="125" t="s">
        <v>76</v>
      </c>
      <c r="E5" s="125" t="s">
        <v>77</v>
      </c>
      <c r="F5" s="125" t="s">
        <v>76</v>
      </c>
      <c r="G5" s="125" t="s">
        <v>76</v>
      </c>
      <c r="H5" s="125" t="s">
        <v>76</v>
      </c>
      <c r="I5" s="125" t="s">
        <v>78</v>
      </c>
      <c r="J5" s="125" t="s">
        <v>79</v>
      </c>
      <c r="K5" s="125" t="s">
        <v>80</v>
      </c>
      <c r="L5" s="125" t="s">
        <v>79</v>
      </c>
      <c r="M5" s="125" t="s">
        <v>81</v>
      </c>
      <c r="N5" s="125" t="s">
        <v>82</v>
      </c>
      <c r="O5" s="125" t="s">
        <v>83</v>
      </c>
      <c r="P5" s="125" t="s">
        <v>84</v>
      </c>
      <c r="Q5" s="125" t="s">
        <v>85</v>
      </c>
      <c r="R5" s="125" t="s">
        <v>86</v>
      </c>
      <c r="S5" s="125" t="s">
        <v>84</v>
      </c>
      <c r="T5" s="125" t="s">
        <v>82</v>
      </c>
      <c r="U5" s="125" t="s">
        <v>87</v>
      </c>
      <c r="V5" s="125" t="s">
        <v>88</v>
      </c>
      <c r="W5" s="125" t="s">
        <v>89</v>
      </c>
      <c r="X5" s="125" t="s">
        <v>90</v>
      </c>
      <c r="Y5" s="125" t="s">
        <v>91</v>
      </c>
      <c r="Z5" s="125" t="s">
        <v>92</v>
      </c>
      <c r="AA5" s="125" t="s">
        <v>84</v>
      </c>
      <c r="AB5" s="125" t="s">
        <v>93</v>
      </c>
    </row>
    <row r="6" spans="1:28" ht="12.75">
      <c r="A6" s="125" t="s">
        <v>36</v>
      </c>
      <c r="B6" s="125" t="s">
        <v>95</v>
      </c>
      <c r="C6" s="125">
        <v>2</v>
      </c>
      <c r="D6" s="125" t="s">
        <v>76</v>
      </c>
      <c r="E6" s="125" t="s">
        <v>77</v>
      </c>
      <c r="F6" s="125" t="s">
        <v>76</v>
      </c>
      <c r="G6" s="125" t="s">
        <v>76</v>
      </c>
      <c r="H6" s="125" t="s">
        <v>76</v>
      </c>
      <c r="I6" s="125" t="s">
        <v>78</v>
      </c>
      <c r="J6" s="125" t="s">
        <v>79</v>
      </c>
      <c r="K6" s="125" t="s">
        <v>80</v>
      </c>
      <c r="L6" s="125" t="s">
        <v>79</v>
      </c>
      <c r="M6" s="125" t="s">
        <v>81</v>
      </c>
      <c r="N6" s="125" t="s">
        <v>82</v>
      </c>
      <c r="O6" s="125" t="s">
        <v>83</v>
      </c>
      <c r="P6" s="125" t="s">
        <v>84</v>
      </c>
      <c r="Q6" s="125" t="s">
        <v>85</v>
      </c>
      <c r="R6" s="125" t="s">
        <v>86</v>
      </c>
      <c r="S6" s="125" t="s">
        <v>84</v>
      </c>
      <c r="T6" s="125" t="s">
        <v>82</v>
      </c>
      <c r="U6" s="125" t="s">
        <v>87</v>
      </c>
      <c r="V6" s="125" t="s">
        <v>88</v>
      </c>
      <c r="W6" s="125" t="s">
        <v>89</v>
      </c>
      <c r="X6" s="125" t="s">
        <v>90</v>
      </c>
      <c r="Y6" s="125" t="s">
        <v>91</v>
      </c>
      <c r="Z6" s="125" t="s">
        <v>92</v>
      </c>
      <c r="AA6" s="125" t="s">
        <v>84</v>
      </c>
      <c r="AB6" s="125" t="s">
        <v>93</v>
      </c>
    </row>
    <row r="7" spans="1:28" ht="12.75">
      <c r="A7" s="125" t="s">
        <v>36</v>
      </c>
      <c r="B7" s="125" t="s">
        <v>96</v>
      </c>
      <c r="C7" s="125">
        <v>2</v>
      </c>
      <c r="D7" s="125" t="s">
        <v>76</v>
      </c>
      <c r="E7" s="125" t="s">
        <v>77</v>
      </c>
      <c r="F7" s="125" t="s">
        <v>76</v>
      </c>
      <c r="G7" s="125" t="s">
        <v>76</v>
      </c>
      <c r="H7" s="125" t="s">
        <v>76</v>
      </c>
      <c r="I7" s="125" t="s">
        <v>78</v>
      </c>
      <c r="J7" s="125" t="s">
        <v>79</v>
      </c>
      <c r="K7" s="125" t="s">
        <v>80</v>
      </c>
      <c r="L7" s="125" t="s">
        <v>79</v>
      </c>
      <c r="M7" s="125" t="s">
        <v>81</v>
      </c>
      <c r="N7" s="125" t="s">
        <v>82</v>
      </c>
      <c r="O7" s="125" t="s">
        <v>83</v>
      </c>
      <c r="P7" s="125" t="s">
        <v>84</v>
      </c>
      <c r="Q7" s="125" t="s">
        <v>85</v>
      </c>
      <c r="R7" s="125" t="s">
        <v>86</v>
      </c>
      <c r="S7" s="125" t="s">
        <v>84</v>
      </c>
      <c r="T7" s="125" t="s">
        <v>82</v>
      </c>
      <c r="U7" s="125" t="s">
        <v>87</v>
      </c>
      <c r="V7" s="125" t="s">
        <v>88</v>
      </c>
      <c r="W7" s="125" t="s">
        <v>89</v>
      </c>
      <c r="X7" s="125" t="s">
        <v>90</v>
      </c>
      <c r="Y7" s="125" t="s">
        <v>91</v>
      </c>
      <c r="Z7" s="125" t="s">
        <v>92</v>
      </c>
      <c r="AA7" s="125" t="s">
        <v>84</v>
      </c>
      <c r="AB7" s="125" t="s">
        <v>93</v>
      </c>
    </row>
    <row r="8" spans="1:28" ht="12.75">
      <c r="A8" s="125" t="s">
        <v>36</v>
      </c>
      <c r="B8" s="125" t="s">
        <v>97</v>
      </c>
      <c r="C8" s="125">
        <v>4</v>
      </c>
      <c r="D8" s="125">
        <v>1</v>
      </c>
      <c r="E8" s="125">
        <v>9</v>
      </c>
      <c r="F8" s="125">
        <v>1</v>
      </c>
      <c r="G8" s="125">
        <v>9</v>
      </c>
      <c r="H8" s="125">
        <v>9</v>
      </c>
      <c r="I8" s="125">
        <v>9</v>
      </c>
      <c r="J8" s="125">
        <v>9</v>
      </c>
      <c r="K8" s="125">
        <v>9</v>
      </c>
      <c r="L8" s="125">
        <v>9</v>
      </c>
      <c r="M8" s="125">
        <v>9</v>
      </c>
      <c r="N8" s="125">
        <v>9</v>
      </c>
      <c r="O8" s="125">
        <v>9</v>
      </c>
      <c r="P8" s="125">
        <v>9</v>
      </c>
      <c r="Q8" s="125">
        <v>9</v>
      </c>
      <c r="R8" s="125">
        <v>9</v>
      </c>
      <c r="S8" s="125">
        <v>9</v>
      </c>
      <c r="T8" s="125">
        <v>9</v>
      </c>
      <c r="U8" s="125">
        <v>9</v>
      </c>
      <c r="V8" s="125">
        <v>9</v>
      </c>
      <c r="W8" s="125">
        <v>9</v>
      </c>
      <c r="X8" s="125">
        <v>9</v>
      </c>
      <c r="Y8" s="125">
        <v>9</v>
      </c>
      <c r="Z8" s="125">
        <v>9</v>
      </c>
      <c r="AA8" s="125">
        <v>9</v>
      </c>
      <c r="AB8" s="125">
        <v>9</v>
      </c>
    </row>
    <row r="9" spans="1:28" ht="12.75">
      <c r="A9" s="127" t="s">
        <v>98</v>
      </c>
      <c r="B9" s="125" t="s">
        <v>97</v>
      </c>
      <c r="C9" s="125">
        <v>4</v>
      </c>
      <c r="D9" s="125">
        <v>1</v>
      </c>
      <c r="E9" s="125">
        <v>9</v>
      </c>
      <c r="F9" s="125">
        <v>1</v>
      </c>
      <c r="G9" s="125">
        <v>9</v>
      </c>
      <c r="H9" s="125">
        <v>9</v>
      </c>
      <c r="I9" s="125">
        <v>9</v>
      </c>
      <c r="J9" s="125">
        <v>9</v>
      </c>
      <c r="K9" s="125">
        <v>9</v>
      </c>
      <c r="L9" s="125">
        <v>9</v>
      </c>
      <c r="M9" s="125">
        <v>9</v>
      </c>
      <c r="N9" s="125">
        <v>9</v>
      </c>
      <c r="O9" s="125">
        <v>9</v>
      </c>
      <c r="P9" s="125">
        <v>9</v>
      </c>
      <c r="Q9" s="125">
        <v>9</v>
      </c>
      <c r="R9" s="125">
        <v>9</v>
      </c>
      <c r="S9" s="125">
        <v>9</v>
      </c>
      <c r="T9" s="125">
        <v>9</v>
      </c>
      <c r="U9" s="125">
        <v>9</v>
      </c>
      <c r="V9" s="125">
        <v>9</v>
      </c>
      <c r="W9" s="125">
        <v>9</v>
      </c>
      <c r="X9" s="125">
        <v>9</v>
      </c>
      <c r="Y9" s="125">
        <v>9</v>
      </c>
      <c r="Z9" s="125">
        <v>9</v>
      </c>
      <c r="AA9" s="125">
        <v>9</v>
      </c>
      <c r="AB9" s="125">
        <v>9</v>
      </c>
    </row>
    <row r="10" spans="1:28" ht="12.75">
      <c r="A10" s="125" t="s">
        <v>99</v>
      </c>
      <c r="B10" s="125" t="s">
        <v>97</v>
      </c>
      <c r="C10" s="125">
        <v>4</v>
      </c>
      <c r="D10" s="125">
        <v>1</v>
      </c>
      <c r="E10" s="125">
        <v>9</v>
      </c>
      <c r="F10" s="125">
        <v>1</v>
      </c>
      <c r="G10" s="125">
        <v>9</v>
      </c>
      <c r="H10" s="125">
        <v>9</v>
      </c>
      <c r="I10" s="125">
        <v>9</v>
      </c>
      <c r="J10" s="125">
        <v>9</v>
      </c>
      <c r="K10" s="125">
        <v>9</v>
      </c>
      <c r="L10" s="125">
        <v>9</v>
      </c>
      <c r="M10" s="125">
        <v>9</v>
      </c>
      <c r="N10" s="125">
        <v>9</v>
      </c>
      <c r="O10" s="125">
        <v>9</v>
      </c>
      <c r="P10" s="125">
        <v>9</v>
      </c>
      <c r="Q10" s="125">
        <v>9</v>
      </c>
      <c r="R10" s="125">
        <v>9</v>
      </c>
      <c r="S10" s="125">
        <v>9</v>
      </c>
      <c r="T10" s="125">
        <v>9</v>
      </c>
      <c r="U10" s="125">
        <v>9</v>
      </c>
      <c r="V10" s="125">
        <v>9</v>
      </c>
      <c r="W10" s="125">
        <v>9</v>
      </c>
      <c r="X10" s="125">
        <v>9</v>
      </c>
      <c r="Y10" s="125">
        <v>9</v>
      </c>
      <c r="Z10" s="125">
        <v>9</v>
      </c>
      <c r="AA10" s="125">
        <v>9</v>
      </c>
      <c r="AB10" s="125">
        <v>9</v>
      </c>
    </row>
    <row r="21" ht="12.75">
      <c r="D21" s="126"/>
    </row>
  </sheetData>
  <sheetProtection/>
  <printOptions/>
  <pageMargins left="0.75" right="0.75" top="1" bottom="1" header="0.4921259845" footer="0.4921259845"/>
  <pageSetup orientation="portrait" paperSize="9"/>
  <headerFooter alignWithMargins="0">
    <oddHeader>&amp;C&amp;A</oddHeader>
    <oddFooter>&amp;CSeite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Loan Manager</dc:title>
  <dc:subject/>
  <dc:creator/>
  <cp:keywords/>
  <dc:description/>
  <cp:lastModifiedBy>Mark</cp:lastModifiedBy>
  <cp:lastPrinted>1997-05-12T16:59:26Z</cp:lastPrinted>
  <dcterms:created xsi:type="dcterms:W3CDTF">1995-05-29T15:59:23Z</dcterms:created>
  <dcterms:modified xsi:type="dcterms:W3CDTF">2016-11-28T02:50:05Z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amily Name" linkTarget="vital1">
    <vt:lpwstr>FAMILY NAME</vt:lpwstr>
  </property>
  <property fmtid="{D5CDD505-2E9C-101B-9397-08002B2CF9AE}" pid="3" name="Family Address" linkTarget="vital2">
    <vt:lpwstr>Family Address</vt:lpwstr>
  </property>
  <property fmtid="{D5CDD505-2E9C-101B-9397-08002B2CF9AE}" pid="4" name="Family City" linkTarget="vital4">
    <vt:lpwstr>City</vt:lpwstr>
  </property>
  <property fmtid="{D5CDD505-2E9C-101B-9397-08002B2CF9AE}" pid="5" name="Family State" linkTarget="vital5">
    <vt:lpwstr>State</vt:lpwstr>
  </property>
  <property fmtid="{D5CDD505-2E9C-101B-9397-08002B2CF9AE}" pid="6" name="Family ZIP" linkTarget="vital6">
    <vt:lpwstr>ZIP Code</vt:lpwstr>
  </property>
  <property fmtid="{D5CDD505-2E9C-101B-9397-08002B2CF9AE}" pid="7" name="Family Phone" linkTarget="vital8">
    <vt:lpwstr>Phone Number</vt:lpwstr>
  </property>
  <property fmtid="{D5CDD505-2E9C-101B-9397-08002B2CF9AE}" pid="8" name="Family Fax" linkTarget="vital9">
    <vt:lpwstr>Fax Number</vt:lpwstr>
  </property>
  <property fmtid="{D5CDD505-2E9C-101B-9397-08002B2CF9AE}" pid="9" name="Lender Name" linkTarget="data1">
    <vt:lpwstr/>
  </property>
  <property fmtid="{D5CDD505-2E9C-101B-9397-08002B2CF9AE}" pid="10" name="Principle" linkTarget="data2">
    <vt:r8>325000</vt:r8>
  </property>
  <property fmtid="{D5CDD505-2E9C-101B-9397-08002B2CF9AE}" pid="11" name="Interest Rate" linkTarget="data3">
    <vt:r8>0.03</vt:r8>
  </property>
  <property fmtid="{D5CDD505-2E9C-101B-9397-08002B2CF9AE}" pid="12" name="Number of Payments" linkTarget="NOMO">
    <vt:r8>360</vt:r8>
  </property>
</Properties>
</file>